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To be uploaded\Chapter-6\"/>
    </mc:Choice>
  </mc:AlternateContent>
  <bookViews>
    <workbookView xWindow="0" yWindow="0" windowWidth="28800" windowHeight="12330" activeTab="11"/>
  </bookViews>
  <sheets>
    <sheet name="6.1" sheetId="18" r:id="rId1"/>
    <sheet name="6.2" sheetId="19" r:id="rId2"/>
    <sheet name="6.3" sheetId="30" r:id="rId3"/>
    <sheet name="6.4" sheetId="31" r:id="rId4"/>
    <sheet name="6.5" sheetId="22" r:id="rId5"/>
    <sheet name="6.5 (Contd.)" sheetId="23" r:id="rId6"/>
    <sheet name="6.6" sheetId="24" r:id="rId7"/>
    <sheet name="6.6 (Contd.)" sheetId="25" r:id="rId8"/>
    <sheet name="6.6 (Contd. 1)" sheetId="26" r:id="rId9"/>
    <sheet name="6.7" sheetId="27" r:id="rId10"/>
    <sheet name="6.8" sheetId="28" r:id="rId11"/>
    <sheet name="6.9" sheetId="29" r:id="rId12"/>
  </sheets>
  <definedNames>
    <definedName name="_xlnm.Print_Area" localSheetId="8">'6.6 (Contd. 1)'!$A$1:$AI$43</definedName>
  </definedNames>
  <calcPr calcId="162913"/>
</workbook>
</file>

<file path=xl/calcChain.xml><?xml version="1.0" encoding="utf-8"?>
<calcChain xmlns="http://schemas.openxmlformats.org/spreadsheetml/2006/main">
  <c r="F6" i="19" l="1"/>
  <c r="F7" i="19"/>
  <c r="F8" i="19"/>
  <c r="F9" i="19"/>
  <c r="F10" i="19"/>
  <c r="F11" i="19"/>
  <c r="F12" i="19"/>
  <c r="F13" i="19"/>
  <c r="F14" i="19"/>
  <c r="F5" i="19"/>
  <c r="C17" i="18" l="1"/>
  <c r="D17" i="31"/>
  <c r="E17" i="31"/>
  <c r="F17" i="31"/>
  <c r="G17" i="31"/>
  <c r="H17" i="31"/>
  <c r="B17" i="31"/>
  <c r="H16" i="31"/>
  <c r="F16" i="31"/>
  <c r="E16" i="31"/>
  <c r="D16" i="31"/>
  <c r="C16" i="31"/>
  <c r="B16" i="31"/>
  <c r="F15" i="31"/>
  <c r="E15" i="31"/>
  <c r="D15" i="31"/>
  <c r="C15" i="31"/>
  <c r="B15" i="31"/>
  <c r="G14" i="31"/>
  <c r="G13" i="31"/>
  <c r="G12" i="31"/>
  <c r="G11" i="31"/>
  <c r="G16" i="31" l="1"/>
  <c r="G15" i="31"/>
  <c r="H15" i="31" s="1"/>
  <c r="I17" i="30" l="1"/>
  <c r="H17" i="30"/>
  <c r="G17" i="30"/>
  <c r="F17" i="30"/>
  <c r="E17" i="30"/>
  <c r="D17" i="30"/>
  <c r="C17" i="30"/>
  <c r="B17" i="30"/>
  <c r="I16" i="30"/>
  <c r="H16" i="30"/>
  <c r="G16" i="30"/>
  <c r="F16" i="30"/>
  <c r="E16" i="30"/>
  <c r="D16" i="30"/>
  <c r="B16" i="30"/>
  <c r="J14" i="30"/>
  <c r="J17" i="30" s="1"/>
  <c r="C14" i="30"/>
  <c r="J13" i="30"/>
  <c r="C13" i="30"/>
  <c r="C16" i="30" s="1"/>
  <c r="J12" i="30"/>
  <c r="K12" i="30" s="1"/>
  <c r="K11" i="30"/>
  <c r="K10" i="30"/>
  <c r="K9" i="30"/>
  <c r="K8" i="30"/>
  <c r="K7" i="30"/>
  <c r="K6" i="30"/>
  <c r="K5" i="30"/>
  <c r="J16" i="30" l="1"/>
  <c r="K13" i="30"/>
  <c r="K14" i="30"/>
  <c r="E15" i="30" l="1"/>
  <c r="B15" i="30"/>
  <c r="D15" i="30"/>
  <c r="G15" i="30"/>
  <c r="K16" i="30"/>
  <c r="I15" i="30"/>
  <c r="K17" i="30"/>
  <c r="H15" i="30"/>
  <c r="F15" i="30"/>
  <c r="J15" i="30"/>
  <c r="C15" i="30"/>
  <c r="C17" i="29"/>
  <c r="D17" i="29"/>
  <c r="E17" i="29"/>
  <c r="F17" i="29"/>
  <c r="B17" i="29"/>
  <c r="E16" i="29"/>
  <c r="D16" i="29"/>
  <c r="C16" i="29"/>
  <c r="B16" i="29"/>
  <c r="F15" i="29"/>
  <c r="G15" i="29" s="1"/>
  <c r="D15" i="29"/>
  <c r="D14" i="29"/>
  <c r="F14" i="29" s="1"/>
  <c r="G14" i="29" s="1"/>
  <c r="D13" i="29"/>
  <c r="F13" i="29" s="1"/>
  <c r="G13" i="29" s="1"/>
  <c r="D12" i="29"/>
  <c r="F12" i="29" s="1"/>
  <c r="G12" i="29" s="1"/>
  <c r="F11" i="29"/>
  <c r="G11" i="29" s="1"/>
  <c r="D11" i="29"/>
  <c r="D10" i="29"/>
  <c r="F10" i="29" s="1"/>
  <c r="G10" i="29" s="1"/>
  <c r="D9" i="29"/>
  <c r="F9" i="29" s="1"/>
  <c r="G9" i="29" s="1"/>
  <c r="D8" i="29"/>
  <c r="F8" i="29" s="1"/>
  <c r="G8" i="29" s="1"/>
  <c r="F7" i="29"/>
  <c r="G7" i="29" s="1"/>
  <c r="D7" i="29"/>
  <c r="D6" i="29"/>
  <c r="F6" i="29" s="1"/>
  <c r="G6" i="29" s="1"/>
  <c r="H20" i="28"/>
  <c r="G20" i="28"/>
  <c r="F20" i="28"/>
  <c r="E20" i="28"/>
  <c r="D20" i="28"/>
  <c r="C20" i="28"/>
  <c r="B20" i="28"/>
  <c r="H19" i="28"/>
  <c r="G19" i="28"/>
  <c r="F19" i="28"/>
  <c r="E19" i="28"/>
  <c r="D19" i="28"/>
  <c r="C19" i="28"/>
  <c r="B19" i="28"/>
  <c r="H18" i="28"/>
  <c r="G18" i="28"/>
  <c r="F18" i="28"/>
  <c r="E18" i="28"/>
  <c r="D18" i="28"/>
  <c r="C18" i="28"/>
  <c r="B18" i="28"/>
  <c r="K15" i="30" l="1"/>
  <c r="G16" i="29"/>
  <c r="F16" i="29"/>
  <c r="J22" i="27" l="1"/>
  <c r="I22" i="27"/>
  <c r="H22" i="27"/>
  <c r="G22" i="27"/>
  <c r="F22" i="27"/>
  <c r="E22" i="27"/>
  <c r="D22" i="27"/>
  <c r="C22" i="27"/>
  <c r="K21" i="27"/>
  <c r="J19" i="27"/>
  <c r="K19" i="27" s="1"/>
  <c r="I19" i="27"/>
  <c r="I20" i="27" s="1"/>
  <c r="H19" i="27"/>
  <c r="G19" i="27"/>
  <c r="G20" i="27" s="1"/>
  <c r="F19" i="27"/>
  <c r="F20" i="27" s="1"/>
  <c r="E19" i="27"/>
  <c r="K18" i="27"/>
  <c r="K17" i="27"/>
  <c r="K16" i="27"/>
  <c r="D16" i="27"/>
  <c r="D19" i="27" s="1"/>
  <c r="C16" i="27"/>
  <c r="C19" i="27" s="1"/>
  <c r="B16" i="27"/>
  <c r="B19" i="27" s="1"/>
  <c r="K15" i="27"/>
  <c r="K13" i="27"/>
  <c r="J13" i="27"/>
  <c r="I13" i="27"/>
  <c r="H13" i="27"/>
  <c r="G13" i="27"/>
  <c r="F13" i="27"/>
  <c r="K12" i="27"/>
  <c r="E12" i="27"/>
  <c r="E13" i="27" s="1"/>
  <c r="D12" i="27"/>
  <c r="C12" i="27"/>
  <c r="B12" i="27"/>
  <c r="B13" i="27" s="1"/>
  <c r="K11" i="27"/>
  <c r="D11" i="27"/>
  <c r="C11" i="27"/>
  <c r="B11" i="27"/>
  <c r="K10" i="27"/>
  <c r="K9" i="27"/>
  <c r="K8" i="27"/>
  <c r="K7" i="27"/>
  <c r="K6" i="27"/>
  <c r="P38" i="26"/>
  <c r="O38" i="26"/>
  <c r="N38" i="26"/>
  <c r="I38" i="26"/>
  <c r="H38" i="26"/>
  <c r="G38" i="26"/>
  <c r="E38" i="26"/>
  <c r="D38" i="26"/>
  <c r="C38" i="26"/>
  <c r="P37" i="26"/>
  <c r="O37" i="26"/>
  <c r="N37" i="26"/>
  <c r="I37" i="26"/>
  <c r="H37" i="26"/>
  <c r="G37" i="26"/>
  <c r="E37" i="26"/>
  <c r="D37" i="26"/>
  <c r="C37" i="26"/>
  <c r="Q36" i="26"/>
  <c r="Q35" i="26"/>
  <c r="Q37" i="26" s="1"/>
  <c r="Q34" i="26"/>
  <c r="Q33" i="26"/>
  <c r="Q32" i="26"/>
  <c r="Q31" i="26"/>
  <c r="Q30" i="26"/>
  <c r="Q29" i="26"/>
  <c r="Q28" i="26"/>
  <c r="Q27" i="26"/>
  <c r="L18" i="26"/>
  <c r="K18" i="26"/>
  <c r="J18" i="26"/>
  <c r="G18" i="26"/>
  <c r="F18" i="26"/>
  <c r="D18" i="26"/>
  <c r="C18" i="26"/>
  <c r="L17" i="26"/>
  <c r="K17" i="26"/>
  <c r="J17" i="26"/>
  <c r="I17" i="26"/>
  <c r="H17" i="26"/>
  <c r="G17" i="26"/>
  <c r="F17" i="26"/>
  <c r="E17" i="26"/>
  <c r="D17" i="26"/>
  <c r="C17" i="26"/>
  <c r="J37" i="25"/>
  <c r="H37" i="25"/>
  <c r="E37" i="25"/>
  <c r="C37" i="25"/>
  <c r="J36" i="25"/>
  <c r="H36" i="25"/>
  <c r="E36" i="25"/>
  <c r="K18" i="25"/>
  <c r="J18" i="25"/>
  <c r="I18" i="25"/>
  <c r="G18" i="25"/>
  <c r="F18" i="25"/>
  <c r="E18" i="25"/>
  <c r="D18" i="25"/>
  <c r="C18" i="25"/>
  <c r="K17" i="25"/>
  <c r="J17" i="25"/>
  <c r="I17" i="25"/>
  <c r="H17" i="25"/>
  <c r="G17" i="25"/>
  <c r="F17" i="25"/>
  <c r="E17" i="25"/>
  <c r="D17" i="25"/>
  <c r="C17" i="25"/>
  <c r="K37" i="24"/>
  <c r="I37" i="24"/>
  <c r="G37" i="24"/>
  <c r="F37" i="24"/>
  <c r="E37" i="24"/>
  <c r="D37" i="24"/>
  <c r="C37" i="24"/>
  <c r="K36" i="24"/>
  <c r="I36" i="24"/>
  <c r="H36" i="24"/>
  <c r="G36" i="24"/>
  <c r="F36" i="24"/>
  <c r="E36" i="24"/>
  <c r="D36" i="24"/>
  <c r="C36" i="24"/>
  <c r="K18" i="24"/>
  <c r="J18" i="24"/>
  <c r="G18" i="24"/>
  <c r="F18" i="24"/>
  <c r="E18" i="24"/>
  <c r="D18" i="24"/>
  <c r="C18" i="24"/>
  <c r="K17" i="24"/>
  <c r="J17" i="24"/>
  <c r="H17" i="24"/>
  <c r="G17" i="24"/>
  <c r="F17" i="24"/>
  <c r="E17" i="24"/>
  <c r="D17" i="24"/>
  <c r="C17" i="24"/>
  <c r="I16" i="24"/>
  <c r="I17" i="24" s="1"/>
  <c r="I15" i="24"/>
  <c r="I14" i="24"/>
  <c r="I13" i="24"/>
  <c r="I12" i="24"/>
  <c r="I11" i="24"/>
  <c r="I10" i="24"/>
  <c r="I9" i="24"/>
  <c r="I8" i="24"/>
  <c r="I7" i="24"/>
  <c r="C16" i="22"/>
  <c r="D16" i="22"/>
  <c r="E16" i="22"/>
  <c r="F16" i="22"/>
  <c r="G16" i="22"/>
  <c r="H16" i="22"/>
  <c r="B16" i="22"/>
  <c r="I20" i="23"/>
  <c r="H20" i="23"/>
  <c r="G20" i="23"/>
  <c r="F20" i="23"/>
  <c r="E20" i="23"/>
  <c r="D20" i="23"/>
  <c r="C20" i="23"/>
  <c r="B20" i="23"/>
  <c r="I19" i="23"/>
  <c r="H19" i="23"/>
  <c r="G19" i="23"/>
  <c r="F19" i="23"/>
  <c r="E19" i="23"/>
  <c r="D19" i="23"/>
  <c r="C19" i="23"/>
  <c r="B19" i="23"/>
  <c r="G18" i="23"/>
  <c r="F18" i="23"/>
  <c r="E18" i="23"/>
  <c r="D18" i="23"/>
  <c r="C18" i="23"/>
  <c r="B18" i="23"/>
  <c r="H18" i="22"/>
  <c r="G18" i="22"/>
  <c r="F18" i="22"/>
  <c r="E18" i="22"/>
  <c r="D18" i="22"/>
  <c r="C18" i="22"/>
  <c r="B18" i="22"/>
  <c r="AZ17" i="22"/>
  <c r="AY17" i="22"/>
  <c r="AX17" i="22"/>
  <c r="H17" i="22"/>
  <c r="G17" i="22"/>
  <c r="F17" i="22"/>
  <c r="E17" i="22"/>
  <c r="D17" i="22"/>
  <c r="C17" i="22"/>
  <c r="B17" i="22"/>
  <c r="AZ16" i="22"/>
  <c r="AY16" i="22"/>
  <c r="AX16" i="22"/>
  <c r="AZ15" i="22"/>
  <c r="AY15" i="22"/>
  <c r="AX15" i="22"/>
  <c r="AJ15" i="22"/>
  <c r="AZ14" i="22"/>
  <c r="AY14" i="22"/>
  <c r="AX14" i="22"/>
  <c r="AZ13" i="22"/>
  <c r="AY13" i="22"/>
  <c r="AX13" i="22"/>
  <c r="AZ12" i="22"/>
  <c r="AY12" i="22"/>
  <c r="AX12" i="22"/>
  <c r="AZ11" i="22"/>
  <c r="AY11" i="22"/>
  <c r="AX11" i="22"/>
  <c r="AZ10" i="22"/>
  <c r="AY10" i="22"/>
  <c r="AX10" i="22"/>
  <c r="AZ9" i="22"/>
  <c r="AY9" i="22"/>
  <c r="AX9" i="22"/>
  <c r="AZ8" i="22"/>
  <c r="AY8" i="22"/>
  <c r="AX8" i="22"/>
  <c r="Q38" i="26" l="1"/>
  <c r="C13" i="27"/>
  <c r="C20" i="27" s="1"/>
  <c r="D13" i="27"/>
  <c r="J20" i="27"/>
  <c r="K20" i="27" s="1"/>
  <c r="B20" i="27"/>
  <c r="D20" i="27"/>
  <c r="E20" i="27"/>
  <c r="H20" i="27"/>
  <c r="I18" i="24"/>
  <c r="B22" i="27" l="1"/>
  <c r="F16" i="19" l="1"/>
  <c r="E14" i="19"/>
  <c r="D14" i="19"/>
  <c r="C14" i="19"/>
  <c r="B14" i="19"/>
  <c r="E13" i="19"/>
  <c r="D13" i="19"/>
  <c r="C13" i="19"/>
  <c r="B13" i="19"/>
  <c r="E12" i="19"/>
  <c r="D12" i="19"/>
  <c r="C12" i="19"/>
  <c r="B12" i="19"/>
  <c r="E11" i="19"/>
  <c r="D11" i="19"/>
  <c r="C11" i="19"/>
  <c r="B11" i="19"/>
  <c r="E10" i="19"/>
  <c r="D10" i="19"/>
  <c r="C10" i="19"/>
  <c r="B10" i="19"/>
  <c r="E9" i="19"/>
  <c r="D9" i="19"/>
  <c r="C9" i="19"/>
  <c r="B9" i="19"/>
  <c r="E8" i="19"/>
  <c r="D8" i="19"/>
  <c r="C8" i="19"/>
  <c r="B8" i="19"/>
  <c r="E7" i="19"/>
  <c r="D7" i="19"/>
  <c r="C7" i="19"/>
  <c r="B7" i="19"/>
  <c r="E6" i="19"/>
  <c r="D6" i="19"/>
  <c r="C6" i="19"/>
  <c r="B6" i="19"/>
  <c r="E5" i="19"/>
  <c r="D5" i="19"/>
  <c r="C5" i="19"/>
  <c r="B5" i="19"/>
  <c r="F17" i="18"/>
  <c r="E17" i="18"/>
  <c r="D17" i="18"/>
  <c r="B17" i="18"/>
  <c r="F16" i="18"/>
  <c r="E16" i="18"/>
  <c r="D16" i="18"/>
  <c r="C16" i="18"/>
  <c r="B16" i="18"/>
  <c r="G8" i="19" l="1"/>
  <c r="G5" i="19"/>
  <c r="C16" i="19"/>
  <c r="E16" i="19"/>
  <c r="G6" i="19"/>
  <c r="G12" i="19"/>
  <c r="G11" i="19"/>
  <c r="B16" i="19"/>
  <c r="D16" i="19"/>
  <c r="G9" i="19"/>
  <c r="G10" i="19"/>
  <c r="G13" i="19"/>
  <c r="G7" i="19"/>
  <c r="G14" i="19"/>
  <c r="D15" i="19" l="1"/>
  <c r="F15" i="19"/>
  <c r="G16" i="19"/>
  <c r="G15" i="19"/>
  <c r="B15" i="19"/>
  <c r="C15" i="19"/>
  <c r="E15" i="19"/>
</calcChain>
</file>

<file path=xl/sharedStrings.xml><?xml version="1.0" encoding="utf-8"?>
<sst xmlns="http://schemas.openxmlformats.org/spreadsheetml/2006/main" count="486" uniqueCount="199">
  <si>
    <t>Total</t>
  </si>
  <si>
    <t>2012-13</t>
  </si>
  <si>
    <t>2013-14</t>
  </si>
  <si>
    <t>2014-15</t>
  </si>
  <si>
    <t>Year</t>
  </si>
  <si>
    <t xml:space="preserve">Coal </t>
  </si>
  <si>
    <t>Lignite</t>
  </si>
  <si>
    <t>2010-11</t>
  </si>
  <si>
    <t>2011-12</t>
  </si>
  <si>
    <t>Sources:</t>
  </si>
  <si>
    <t>2.  Ministry of Petroleum &amp; Natural Gas.</t>
  </si>
  <si>
    <t xml:space="preserve">1.  Office of Coal Controller, Ministry of Coal </t>
  </si>
  <si>
    <r>
      <t>GWh = Giga Watt hour = 10</t>
    </r>
    <r>
      <rPr>
        <vertAlign val="superscript"/>
        <sz val="10"/>
        <color indexed="8"/>
        <rFont val="Times New Roman"/>
        <family val="1"/>
      </rPr>
      <t>6</t>
    </r>
    <r>
      <rPr>
        <sz val="10"/>
        <color indexed="8"/>
        <rFont val="Times New Roman"/>
        <family val="1"/>
      </rPr>
      <t xml:space="preserve"> x Kilo Watt hour</t>
    </r>
  </si>
  <si>
    <t xml:space="preserve">3.  Central Electricity Authority. </t>
  </si>
  <si>
    <t>Natural  Gas</t>
  </si>
  <si>
    <t>Electricity #</t>
  </si>
  <si>
    <t>**Crude oil in terms of refinery crude throughput.</t>
  </si>
  <si>
    <t xml:space="preserve"># Does not include Lignite </t>
  </si>
  <si>
    <t>Note: Here the value of energy in peta joules relates to the production value from Hydro and Nuclear only. Due to non availability of the data the consumption value is taken equivalent to production value</t>
  </si>
  <si>
    <t>(P): Provisional</t>
  </si>
  <si>
    <t>2015-16</t>
  </si>
  <si>
    <t xml:space="preserve">#: Include Hydro, Nuclear and other renewable sources electricity from utilities </t>
  </si>
  <si>
    <t>Data on electricity has been revised as per the inputs from CEA and hence may not match with the previous year data.</t>
  </si>
  <si>
    <t>2016-17</t>
  </si>
  <si>
    <t>2017-18</t>
  </si>
  <si>
    <t>(P): Provisional.</t>
  </si>
  <si>
    <t>Crude Oil *</t>
  </si>
  <si>
    <t>(In Petajoules)</t>
  </si>
  <si>
    <t>2018-19</t>
  </si>
  <si>
    <t>*: Crude oil in terms of refinery crude processed.</t>
  </si>
  <si>
    <t>2019-20(P)</t>
  </si>
  <si>
    <t>2019-20 (P)</t>
  </si>
  <si>
    <t>Growth rate of 2019-20 over 2018-19 (%)</t>
  </si>
  <si>
    <t>CAGR 2010-11 to 2019-20 (%)</t>
  </si>
  <si>
    <t>Growth rate of 2019-20 over 2018-19(%)</t>
  </si>
  <si>
    <t xml:space="preserve">2018-19 </t>
  </si>
  <si>
    <t>CAGR 2010-11 to 2019-20(%)</t>
  </si>
  <si>
    <t>% Share in total consumption for 2019-20</t>
  </si>
  <si>
    <t>Coal #
(Million Tonnes)</t>
  </si>
  <si>
    <t>Lignite 
(Million Tonnes)</t>
  </si>
  <si>
    <t>Table 6.1:  Yearwise Consumption of  Energy Resources in Physical Units</t>
  </si>
  <si>
    <t>Crude Oil** 
MMT</t>
  </si>
  <si>
    <t>Natural Gas
(Billion Cubic Metres)</t>
  </si>
  <si>
    <t>Electricity
 (GWh)</t>
  </si>
  <si>
    <t>Table 6.2: Yearwise Consumption of  Energy Resources in Energy Units</t>
  </si>
  <si>
    <t xml:space="preserve">      (Million Tonnes)</t>
  </si>
  <si>
    <t xml:space="preserve">Year </t>
  </si>
  <si>
    <t>Light Distillates</t>
  </si>
  <si>
    <t>Middle Distillates</t>
  </si>
  <si>
    <t>LPG</t>
  </si>
  <si>
    <t>Petrol</t>
  </si>
  <si>
    <t>Naphtha</t>
  </si>
  <si>
    <t>Kerosene</t>
  </si>
  <si>
    <t>% Distribution in 2019-20(P)</t>
  </si>
  <si>
    <t>(P) : Provisional</t>
  </si>
  <si>
    <t xml:space="preserve">  Total may not tally due to rounding off.</t>
  </si>
  <si>
    <t xml:space="preserve">      (Million  Tonnes)</t>
  </si>
  <si>
    <t>Heavy Ends</t>
  </si>
  <si>
    <t>Others*</t>
  </si>
  <si>
    <t>Total Consumption</t>
  </si>
  <si>
    <t>Refinery Fuel and Losses</t>
  </si>
  <si>
    <t>Total including Refinery Fuel and losses</t>
  </si>
  <si>
    <t>Fuel  Oil</t>
  </si>
  <si>
    <t>Lubricants</t>
  </si>
  <si>
    <t>Bitumen</t>
  </si>
  <si>
    <t>15=2 to 14</t>
  </si>
  <si>
    <t>-</t>
  </si>
  <si>
    <t>(P) : Provisional;</t>
  </si>
  <si>
    <t>Consumption includes sales by oil companies, own consumption and direct private imports</t>
  </si>
  <si>
    <t>* : Includes those of light &amp; middle distillates and heavy ends and sales through private parties.</t>
  </si>
  <si>
    <t>Source: Ministry of Petroleum &amp; Natural Gas.</t>
  </si>
  <si>
    <t xml:space="preserve"> ('000 tonnes)</t>
  </si>
  <si>
    <t>Petroleum Product</t>
  </si>
  <si>
    <t>Transport</t>
  </si>
  <si>
    <t>Plantation/
Agriculture</t>
  </si>
  <si>
    <t>Power Generation</t>
  </si>
  <si>
    <t>Industry</t>
  </si>
  <si>
    <t>Mining &amp; Quarrying</t>
  </si>
  <si>
    <t>Resellers/Retail</t>
  </si>
  <si>
    <t>Misc. Services</t>
  </si>
  <si>
    <t>Pvt Imports</t>
  </si>
  <si>
    <t>11= 3 to 10</t>
  </si>
  <si>
    <t>High Speed Diesel Oil</t>
  </si>
  <si>
    <t xml:space="preserve">Note:  ** denotes that the  data of Resellers / Retail are included in Miscellaneous services </t>
  </si>
  <si>
    <t>resellers/Retail</t>
  </si>
  <si>
    <t>11 =3 to10</t>
  </si>
  <si>
    <t>Light  Diesel Oil</t>
  </si>
  <si>
    <t>**</t>
  </si>
  <si>
    <t>Agriculture</t>
  </si>
  <si>
    <t>Domestic</t>
  </si>
  <si>
    <t xml:space="preserve">                                              ('000 tonnes)</t>
  </si>
  <si>
    <t>Furnace Oil</t>
  </si>
  <si>
    <t xml:space="preserve"> -</t>
  </si>
  <si>
    <t>10 =3 to 9</t>
  </si>
  <si>
    <t>Low Sulphur Heavy Stock</t>
  </si>
  <si>
    <t>Manufacturing</t>
  </si>
  <si>
    <t>Domestic Distribution</t>
  </si>
  <si>
    <t>Non- Domestic/
Industry/
Commercial</t>
  </si>
  <si>
    <t>Reseller/Retail</t>
  </si>
  <si>
    <t>Other/ Misc. Services</t>
  </si>
  <si>
    <t>Private import</t>
  </si>
  <si>
    <t>12=3 to 11</t>
  </si>
  <si>
    <t>Liquefied Petroleum Gas</t>
  </si>
  <si>
    <t xml:space="preserve">N A </t>
  </si>
  <si>
    <t>Fertilisers</t>
  </si>
  <si>
    <t>Petro chemicals</t>
  </si>
  <si>
    <t>Power</t>
  </si>
  <si>
    <t>Steel Plants</t>
  </si>
  <si>
    <t>Others</t>
  </si>
  <si>
    <t>Commercial/ Industry</t>
  </si>
  <si>
    <t>9 =3 to 8</t>
  </si>
  <si>
    <t>6=3 to 5</t>
  </si>
  <si>
    <t>Naptha</t>
  </si>
  <si>
    <t>SKO(Kerosene)</t>
  </si>
  <si>
    <t>(Figures in MMSCM)</t>
  </si>
  <si>
    <t>Sector</t>
  </si>
  <si>
    <t>% Share of Total</t>
  </si>
  <si>
    <t>(a) Energy Purpose</t>
  </si>
  <si>
    <t>Industrial &amp; Manufacturing</t>
  </si>
  <si>
    <t>Tea Plantation</t>
  </si>
  <si>
    <t>Internal Consumption for Pipeline System</t>
  </si>
  <si>
    <t>Refinery</t>
  </si>
  <si>
    <t>Miscellaneous</t>
  </si>
  <si>
    <t>Total (a)</t>
  </si>
  <si>
    <t>(b) Non-Energy Purpose</t>
  </si>
  <si>
    <t>Fertilizer Industry</t>
  </si>
  <si>
    <t>Petrochemical</t>
  </si>
  <si>
    <t>Sponge Iron</t>
  </si>
  <si>
    <t>LPG Shrinkage</t>
  </si>
  <si>
    <t>Total (b)</t>
  </si>
  <si>
    <t>Total Sectorial Sales (a+b)</t>
  </si>
  <si>
    <t>Total Consumption **</t>
  </si>
  <si>
    <t>Note: **: Availability Basis (Net Production+LNG Imports)</t>
  </si>
  <si>
    <t>P: Provisional</t>
  </si>
  <si>
    <t>1. Re-classification among the sectors of consumption of natural gas under energy and non-energy sectors, has been done depending on usage. Sectors where natural gas is being used as feedstock are classified as consumption of gas under non-energy purpose whereas those sectors where natural gas is being used as fuel are classified as consumption of gas under energy purpose .</t>
  </si>
  <si>
    <t>2. Sectorial Sales/consumption of natural gas includes RLNG.</t>
  </si>
  <si>
    <t>3. Total may not tally due to rounding off.</t>
  </si>
  <si>
    <t>4. The reasons for the variation between the consolidated availability and the consumption can be attributed to stock changes, conversion factor (volume/energy) and the provisional data reported by the companies.</t>
  </si>
  <si>
    <t>Source: Ministry of Petroleum and Natural Gas</t>
  </si>
  <si>
    <t xml:space="preserve"> </t>
  </si>
  <si>
    <t xml:space="preserve">Total Consumption in MMSCM per Day </t>
  </si>
  <si>
    <t>CGD Network: City or Local Natural Gas Distribution Network incl. Road Transport</t>
  </si>
  <si>
    <t>CGD Network</t>
  </si>
  <si>
    <r>
      <t>(in Giga Watt Hour = 10</t>
    </r>
    <r>
      <rPr>
        <b/>
        <vertAlign val="superscript"/>
        <sz val="10"/>
        <color indexed="8"/>
        <rFont val="Times New Roman"/>
        <family val="1"/>
      </rPr>
      <t>6</t>
    </r>
    <r>
      <rPr>
        <b/>
        <sz val="10"/>
        <color indexed="8"/>
        <rFont val="Times New Roman"/>
        <family val="1"/>
      </rPr>
      <t xml:space="preserve">  Kilo Watt Hour)</t>
    </r>
  </si>
  <si>
    <t>Commercial</t>
  </si>
  <si>
    <t>Traction &amp; Railways</t>
  </si>
  <si>
    <t>8=2 to 7</t>
  </si>
  <si>
    <t xml:space="preserve">% share in 2019-20 (%) </t>
  </si>
  <si>
    <t>Source : Central Electricity Authority.</t>
  </si>
  <si>
    <r>
      <t>in Giga Watt hour =10</t>
    </r>
    <r>
      <rPr>
        <b/>
        <vertAlign val="superscript"/>
        <sz val="10"/>
        <color indexed="8"/>
        <rFont val="Times New Roman"/>
        <family val="1"/>
      </rPr>
      <t>6</t>
    </r>
    <r>
      <rPr>
        <b/>
        <sz val="10"/>
        <color indexed="8"/>
        <rFont val="Times New Roman"/>
        <family val="1"/>
      </rPr>
      <t xml:space="preserve">  Kilo Watt hour</t>
    </r>
  </si>
  <si>
    <t>Net Electricity Generated from Utilities</t>
  </si>
  <si>
    <t>Purchases from Non-Utilities + Net Import from Other Countries</t>
  </si>
  <si>
    <t>Net Electricity Available for Supply</t>
  </si>
  <si>
    <t>Sold to Ultimate Consumers &amp; Other Countries</t>
  </si>
  <si>
    <t xml:space="preserve"> Loss in transmission &amp; distribution</t>
  </si>
  <si>
    <t xml:space="preserve"> Loss in transmission &amp; distribution     (%)</t>
  </si>
  <si>
    <t>4=2+3</t>
  </si>
  <si>
    <t>6=4-5</t>
  </si>
  <si>
    <t xml:space="preserve">Source : Central Electricity Authority.   </t>
  </si>
  <si>
    <t xml:space="preserve">                                            ( Million tonnes)</t>
  </si>
  <si>
    <t>Electricity</t>
  </si>
  <si>
    <t>Cement</t>
  </si>
  <si>
    <t xml:space="preserve">Paper </t>
  </si>
  <si>
    <t>Textile</t>
  </si>
  <si>
    <t>Fertilizers &amp;chemicals</t>
  </si>
  <si>
    <t>Bricks</t>
  </si>
  <si>
    <t>11 = 2 to 10</t>
  </si>
  <si>
    <t>Growth rate of 2019-20  over 2018-19(%)</t>
  </si>
  <si>
    <t>Source :  Office of the Coal Controller, Ministry of Coal</t>
  </si>
  <si>
    <t>Steel  &amp; Washery</t>
  </si>
  <si>
    <t>Others *</t>
  </si>
  <si>
    <t>Aviation Turbine Fuel</t>
  </si>
  <si>
    <t>Light Diesel Oil</t>
  </si>
  <si>
    <t>Petroleum
coke</t>
  </si>
  <si>
    <t xml:space="preserve"> Note: Consumption includes sales by oil companies, own consumption and direct private imports</t>
  </si>
  <si>
    <t xml:space="preserve">                                            ( Million  tonnes)</t>
  </si>
  <si>
    <t>Growth rate of 2019-20  over 2018-19 (%)</t>
  </si>
  <si>
    <t xml:space="preserve">* Includes Sponge Iron, colliery consumption., jute, bricks, coal for soft coke, chemicals, fertilisers &amp; other  industries consumption. </t>
  </si>
  <si>
    <t>From 2009-10 onwards cotton is also included in others.</t>
  </si>
  <si>
    <t xml:space="preserve">Percentage share in total consumption (%) </t>
  </si>
  <si>
    <t xml:space="preserve">Percentage share in Total Consumption (%) </t>
  </si>
  <si>
    <t>CAGR 2010-11 to 2019-20 (P) (%)</t>
  </si>
  <si>
    <t>&amp;: includes import of coking coal</t>
  </si>
  <si>
    <t>Steel  &amp; Washery&amp;</t>
  </si>
  <si>
    <t>* Includes Sponge Iron, colliery consumption, jute, bricks, coal for soft coke, fertilisers &amp; other  industries, import of non coking coal</t>
  </si>
  <si>
    <t>Table 6.3:  Yearwise Consumption of Coal - Industrywise</t>
  </si>
  <si>
    <t>Table 6.4: Yearwise Consumption of Lignite -  Industrywise</t>
  </si>
  <si>
    <t>Table 6.5 : Yearwise Consumption of  Petroleum Products - Categorywise</t>
  </si>
  <si>
    <t>Table  6.5 (Contd.) : Yearwise Consumption of  Petroleum Products - Categorywise</t>
  </si>
  <si>
    <t>Table 6.6 (A): Yearwise Consumption of Selected Petroleum Products - 
Sectorwise(end use)</t>
  </si>
  <si>
    <t>Table  6.6 (B) :  Yearwise Consumption of Selected Petroleum Products - 
Sectorwise(end use)</t>
  </si>
  <si>
    <t xml:space="preserve">Table  6.6 (C) : Yearwise Consumption of Selected Petroleum Products - 
Sectorwise(end use)   </t>
  </si>
  <si>
    <t>Table  6.6 (D) : Yearwise Consumption of Selected Petroleum Products - Sectorwise(end use)</t>
  </si>
  <si>
    <t xml:space="preserve">Table  6.6 (E) : Yearwise Consumption of Selected Petroleum Products - 
Sectorwise(end use)  </t>
  </si>
  <si>
    <t>Table  6.6 (F) : Yearwise Consumption of Selected Petroleum Products - Sectorwise(end use)</t>
  </si>
  <si>
    <t>Table  6.6 (G) : Yearwise Consumption of Selected Petroleum Products - Sectorwise(end use)</t>
  </si>
  <si>
    <t>Table 6.7: Yearwise Consumption of Natural Gas - Sectorwise</t>
  </si>
  <si>
    <t xml:space="preserve">Table 6.8: Yearwise Consumption of Electricity - Sectorwise </t>
  </si>
  <si>
    <t>Table 6.9 :  Electricity Generated (from Utilities), Distributed, Sold and Transmission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</si>
</sst>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3" formatCode="_(* #,##0.00_);_(* \(#,##0.00\);_(* &quot;-&quot;??_);_(@_)"/>
    <numFmt numFmtId="164" formatCode="_ * #,##0.00_ ;_ * \-#,##0.00_ ;_ * &quot;-&quot;??_ ;_ @_ "/>
    <numFmt numFmtId="165" formatCode="0.0"/>
    <numFmt numFmtId="166" formatCode="0.000"/>
    <numFmt numFmtId="167" formatCode="0.0%"/>
    <numFmt numFmtId="168" formatCode="#,##0.0"/>
    <numFmt numFmtId="169" formatCode="##0.000"/>
    <numFmt numFmtId="170" formatCode="_-* #,###_-;\(#,###\);_-* &quot;–&quot;_-;_-@_-"/>
    <numFmt numFmtId="171" formatCode="_-* #,###.00_-;\(#,###.00\);_-* &quot;–&quot;_-;_-@_-"/>
    <numFmt numFmtId="172" formatCode="_-\ #,##0.000_-;\(#,##0.000\);_-* &quot;–&quot;_-;_-@_-"/>
    <numFmt numFmtId="173" formatCode="_-* #,###.0_-;\(#,###.0\);_-* &quot;–&quot;_-;_-@_-"/>
    <numFmt numFmtId="174" formatCode="_-\ #,##0%_-;\(#,##0\)%;_-* &quot;–&quot;_-;_-@_-"/>
    <numFmt numFmtId="175" formatCode="_-####_-;\(####\);_-\ &quot;–&quot;_-;_-@_-"/>
    <numFmt numFmtId="176" formatCode="_-\ #,##0.00_-;\(#,##0.00\);_-* &quot;–&quot;_-;_-@_-"/>
    <numFmt numFmtId="177" formatCode="_-* #,##0.0_-;\(#,##0.0\);_-* &quot;–&quot;_-;_-@_-"/>
    <numFmt numFmtId="178" formatCode="_-\ #,##0.0_-;\(#,##0.0\);_-* &quot;–&quot;_-;_-@_-"/>
    <numFmt numFmtId="179" formatCode="_-* #,##0.00_-;\-* #,##0.00_-;_-* &quot;-&quot;??_-;_-@_-"/>
    <numFmt numFmtId="180" formatCode="_-* ###0_-;\(###0\);_-* &quot;–&quot;_-;_-@_-"/>
    <numFmt numFmtId="181" formatCode="_-* ###0.00_-;\(###0.00\);_-* &quot;–&quot;_-;_-@_-"/>
    <numFmt numFmtId="182" formatCode="_(* #,##0_);_(* \(#,##0\);_(* &quot;-&quot;??_);_(@_)"/>
    <numFmt numFmtId="183" formatCode="#,##0.0000"/>
  </numFmts>
  <fonts count="70">
    <font>
      <sz val="11"/>
      <color theme="1"/>
      <name val="Calibri"/>
      <family val="2"/>
      <scheme val="minor"/>
    </font>
    <font>
      <b/>
      <sz val="10"/>
      <name val="Times New Roman"/>
      <family val="1"/>
    </font>
    <font>
      <sz val="10"/>
      <name val="Times New Roman"/>
      <family val="1"/>
    </font>
    <font>
      <sz val="10"/>
      <name val="Arial"/>
      <family val="2"/>
    </font>
    <font>
      <sz val="10"/>
      <color indexed="8"/>
      <name val="Times New Roman"/>
      <family val="1"/>
    </font>
    <font>
      <sz val="11"/>
      <color indexed="8"/>
      <name val="Calibri"/>
      <family val="2"/>
    </font>
    <font>
      <b/>
      <sz val="10"/>
      <color indexed="8"/>
      <name val="Times New Roman"/>
      <family val="1"/>
    </font>
    <font>
      <vertAlign val="superscript"/>
      <sz val="10"/>
      <color indexed="8"/>
      <name val="Times New Roman"/>
      <family val="1"/>
    </font>
    <font>
      <sz val="12"/>
      <name val="Arial"/>
      <family val="2"/>
    </font>
    <font>
      <b/>
      <sz val="14"/>
      <color indexed="8"/>
      <name val="Times New Roman"/>
      <family val="1"/>
    </font>
    <font>
      <sz val="8"/>
      <name val="Arial"/>
      <family val="2"/>
    </font>
    <font>
      <sz val="7"/>
      <color indexed="45"/>
      <name val="Arial"/>
      <family val="2"/>
    </font>
    <font>
      <sz val="10"/>
      <name val="Courier"/>
      <family val="3"/>
    </font>
    <font>
      <sz val="10"/>
      <name val="Arial"/>
      <family val="2"/>
    </font>
    <font>
      <i/>
      <sz val="10"/>
      <color indexed="8"/>
      <name val="Times New Roman"/>
      <family val="1"/>
    </font>
    <font>
      <sz val="11"/>
      <color theme="1"/>
      <name val="Calibri"/>
      <family val="2"/>
      <scheme val="minor"/>
    </font>
    <font>
      <u/>
      <sz val="11"/>
      <color theme="10"/>
      <name val="Calibri"/>
      <family val="2"/>
      <scheme val="minor"/>
    </font>
    <font>
      <sz val="10"/>
      <color theme="1"/>
      <name val="Times New Roman"/>
      <family val="1"/>
    </font>
    <font>
      <i/>
      <sz val="11"/>
      <color theme="1"/>
      <name val="Calibri"/>
      <family val="2"/>
      <scheme val="minor"/>
    </font>
    <font>
      <sz val="9"/>
      <name val="UniversCondLight"/>
    </font>
    <font>
      <sz val="8"/>
      <name val="Times"/>
      <family val="1"/>
    </font>
    <font>
      <sz val="7"/>
      <name val="Times"/>
      <family val="1"/>
    </font>
    <font>
      <sz val="8"/>
      <name val="UniversCond"/>
    </font>
    <font>
      <sz val="9.5"/>
      <name val="UniversCond"/>
    </font>
    <font>
      <b/>
      <sz val="13"/>
      <color indexed="8"/>
      <name val="Times New Roman"/>
      <family val="1"/>
    </font>
    <font>
      <u/>
      <sz val="11"/>
      <color theme="10"/>
      <name val="Calibri"/>
      <family val="2"/>
    </font>
    <font>
      <sz val="8"/>
      <name val="Arial"/>
      <family val="2"/>
    </font>
    <font>
      <sz val="7"/>
      <name val="Arial"/>
      <family val="2"/>
    </font>
    <font>
      <sz val="11"/>
      <color indexed="9"/>
      <name val="Calibri"/>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color indexed="8"/>
      <name val="Arial"/>
      <family val="2"/>
    </font>
    <font>
      <sz val="6.5"/>
      <name val="Arial"/>
      <family val="2"/>
    </font>
    <font>
      <b/>
      <sz val="8.5"/>
      <color indexed="45"/>
      <name val="Arial"/>
      <family val="2"/>
    </font>
    <font>
      <sz val="12"/>
      <color indexed="50"/>
      <name val="Arial"/>
      <family val="2"/>
    </font>
    <font>
      <vertAlign val="superscript"/>
      <sz val="8"/>
      <name val="Arial"/>
      <family val="2"/>
    </font>
    <font>
      <b/>
      <sz val="7.5"/>
      <name val="Arial"/>
      <family val="2"/>
    </font>
    <font>
      <sz val="7.5"/>
      <name val="Arial"/>
      <family val="2"/>
    </font>
    <font>
      <sz val="8"/>
      <color indexed="50"/>
      <name val="Arial"/>
      <family val="2"/>
    </font>
    <font>
      <sz val="7.5"/>
      <color indexed="57"/>
      <name val="Arial"/>
      <family val="2"/>
    </font>
    <font>
      <sz val="8"/>
      <color indexed="57"/>
      <name val="Arial"/>
      <family val="2"/>
    </font>
    <font>
      <b/>
      <sz val="11"/>
      <color indexed="8"/>
      <name val="Calibri"/>
      <family val="2"/>
    </font>
    <font>
      <u/>
      <sz val="10"/>
      <color indexed="12"/>
      <name val="Arial"/>
      <family val="2"/>
    </font>
    <font>
      <sz val="9"/>
      <name val="Geneva"/>
    </font>
    <font>
      <b/>
      <sz val="18"/>
      <color indexed="62"/>
      <name val="Cambria"/>
      <family val="2"/>
    </font>
    <font>
      <b/>
      <sz val="15"/>
      <color indexed="45"/>
      <name val="Arial"/>
      <family val="2"/>
    </font>
    <font>
      <b/>
      <sz val="7"/>
      <color indexed="45"/>
      <name val="Arial"/>
      <family val="2"/>
    </font>
    <font>
      <sz val="11"/>
      <color rgb="FFFF0000"/>
      <name val="Calibri"/>
      <family val="2"/>
      <scheme val="minor"/>
    </font>
    <font>
      <sz val="11"/>
      <name val="Arial"/>
      <family val="2"/>
    </font>
    <font>
      <sz val="14"/>
      <name val="Arial"/>
      <family val="2"/>
    </font>
    <font>
      <sz val="12"/>
      <color indexed="8"/>
      <name val="Times New Roman"/>
      <family val="1"/>
    </font>
    <font>
      <sz val="10"/>
      <color theme="1"/>
      <name val="Calibri"/>
      <family val="2"/>
      <scheme val="minor"/>
    </font>
    <font>
      <b/>
      <sz val="16"/>
      <color indexed="8"/>
      <name val="Times New Roman"/>
      <family val="1"/>
    </font>
    <font>
      <sz val="9"/>
      <color indexed="8"/>
      <name val="Times New Roman"/>
      <family val="1"/>
    </font>
    <font>
      <b/>
      <sz val="14"/>
      <name val="Times New Roman"/>
      <family val="1"/>
    </font>
    <font>
      <sz val="9"/>
      <name val="Times New Roman"/>
      <family val="1"/>
    </font>
    <font>
      <sz val="11"/>
      <color theme="1"/>
      <name val="Times New Roman"/>
      <family val="1"/>
    </font>
    <font>
      <b/>
      <sz val="11"/>
      <color theme="1"/>
      <name val="Times New Roman"/>
      <family val="1"/>
    </font>
    <font>
      <b/>
      <sz val="12"/>
      <name val="Times New Roman"/>
      <family val="1"/>
    </font>
    <font>
      <b/>
      <sz val="14"/>
      <color rgb="FF000000"/>
      <name val="Times New Roman"/>
      <family val="1"/>
    </font>
    <font>
      <b/>
      <vertAlign val="superscript"/>
      <sz val="10"/>
      <color indexed="8"/>
      <name val="Times New Roman"/>
      <family val="1"/>
    </font>
    <font>
      <b/>
      <sz val="10"/>
      <name val="Arial"/>
      <family val="2"/>
    </font>
    <font>
      <sz val="9"/>
      <color theme="1"/>
      <name val="Calibri"/>
      <family val="2"/>
      <scheme val="minor"/>
    </font>
    <font>
      <sz val="11"/>
      <name val="Calibri"/>
      <family val="2"/>
      <scheme val="minor"/>
    </font>
    <font>
      <i/>
      <sz val="10"/>
      <color theme="1"/>
      <name val="Times New Roman"/>
      <family val="1"/>
    </font>
    <font>
      <i/>
      <sz val="9"/>
      <name val="Times New Roman"/>
      <family val="1"/>
    </font>
  </fonts>
  <fills count="17">
    <fill>
      <patternFill patternType="none"/>
    </fill>
    <fill>
      <patternFill patternType="gray125"/>
    </fill>
    <fill>
      <patternFill patternType="solid">
        <fgColor rgb="FFFFFFCC"/>
      </patternFill>
    </fill>
    <fill>
      <patternFill patternType="solid">
        <f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4"/>
        <bgColor indexed="64"/>
      </patternFill>
    </fill>
  </fills>
  <borders count="24">
    <border>
      <left/>
      <right/>
      <top/>
      <bottom/>
      <diagonal/>
    </border>
    <border>
      <left/>
      <right/>
      <top style="thin">
        <color indexed="45"/>
      </top>
      <bottom style="thin">
        <color indexed="45"/>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bottom style="thick">
        <color indexed="64"/>
      </bottom>
      <diagonal/>
    </border>
    <border>
      <left/>
      <right/>
      <top/>
      <bottom style="thin">
        <color indexed="50"/>
      </bottom>
      <diagonal/>
    </border>
    <border>
      <left style="thin">
        <color indexed="23"/>
      </left>
      <right/>
      <top/>
      <bottom/>
      <diagonal/>
    </border>
    <border>
      <left/>
      <right/>
      <top/>
      <bottom style="dotted">
        <color indexed="64"/>
      </bottom>
      <diagonal/>
    </border>
    <border>
      <left style="thin">
        <color indexed="23"/>
      </left>
      <right style="thin">
        <color indexed="23"/>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216">
    <xf numFmtId="0" fontId="0" fillId="0" borderId="0"/>
    <xf numFmtId="164" fontId="15"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0" fontId="13" fillId="0" borderId="0"/>
    <xf numFmtId="0" fontId="3" fillId="0" borderId="0"/>
    <xf numFmtId="0" fontId="15"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9" fontId="3" fillId="0" borderId="0" applyFont="0" applyFill="0" applyBorder="0" applyAlignment="0" applyProtection="0"/>
    <xf numFmtId="168" fontId="11" fillId="0" borderId="1">
      <alignment horizontal="right" vertical="center"/>
    </xf>
    <xf numFmtId="0" fontId="12" fillId="0" borderId="0"/>
    <xf numFmtId="0" fontId="8" fillId="0" borderId="0"/>
    <xf numFmtId="0" fontId="8" fillId="0" borderId="0"/>
    <xf numFmtId="0" fontId="8" fillId="0" borderId="0"/>
    <xf numFmtId="0" fontId="15" fillId="0" borderId="0"/>
    <xf numFmtId="0" fontId="15" fillId="0" borderId="0"/>
    <xf numFmtId="0" fontId="3" fillId="0" borderId="0"/>
    <xf numFmtId="0" fontId="15" fillId="0" borderId="0"/>
    <xf numFmtId="0" fontId="3" fillId="0" borderId="0"/>
    <xf numFmtId="0" fontId="8" fillId="0" borderId="0"/>
    <xf numFmtId="0" fontId="15" fillId="2" borderId="12" applyNumberFormat="0" applyFont="0" applyAlignment="0" applyProtection="0"/>
    <xf numFmtId="0" fontId="19" fillId="3" borderId="0"/>
    <xf numFmtId="0" fontId="19" fillId="3" borderId="0"/>
    <xf numFmtId="0" fontId="19" fillId="3" borderId="0"/>
    <xf numFmtId="0" fontId="20" fillId="0" borderId="13"/>
    <xf numFmtId="0" fontId="21" fillId="0" borderId="0"/>
    <xf numFmtId="0" fontId="22" fillId="0" borderId="0"/>
    <xf numFmtId="0" fontId="19" fillId="3" borderId="0"/>
    <xf numFmtId="0" fontId="16" fillId="0" borderId="0" applyNumberFormat="0" applyFill="0" applyBorder="0" applyAlignment="0" applyProtection="0"/>
    <xf numFmtId="0" fontId="20" fillId="0" borderId="11"/>
    <xf numFmtId="0" fontId="3" fillId="0" borderId="0"/>
    <xf numFmtId="0" fontId="12"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8" fillId="0" borderId="0"/>
    <xf numFmtId="0" fontId="15" fillId="0" borderId="0"/>
    <xf numFmtId="0" fontId="15" fillId="0" borderId="0"/>
    <xf numFmtId="0" fontId="8" fillId="0" borderId="0"/>
    <xf numFmtId="0" fontId="5" fillId="2" borderId="12" applyNumberFormat="0" applyFont="0" applyAlignment="0" applyProtection="0"/>
    <xf numFmtId="49" fontId="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3" borderId="0"/>
    <xf numFmtId="0" fontId="23" fillId="0" borderId="0"/>
    <xf numFmtId="0" fontId="20" fillId="0" borderId="14"/>
    <xf numFmtId="0" fontId="25" fillId="0" borderId="0" applyNumberFormat="0" applyFill="0" applyBorder="0" applyAlignment="0" applyProtection="0">
      <alignment vertical="top"/>
      <protection locked="0"/>
    </xf>
    <xf numFmtId="0" fontId="15" fillId="0" borderId="0"/>
    <xf numFmtId="0" fontId="26" fillId="0" borderId="0" applyFill="0" applyBorder="0"/>
    <xf numFmtId="43" fontId="12" fillId="0" borderId="0"/>
    <xf numFmtId="0" fontId="15" fillId="0" borderId="0"/>
    <xf numFmtId="9" fontId="12" fillId="0" borderId="0" applyFont="0" applyFill="0" applyBorder="0" applyAlignment="0" applyProtection="0"/>
    <xf numFmtId="43" fontId="12" fillId="0" borderId="0"/>
    <xf numFmtId="0" fontId="5" fillId="4" borderId="0" applyNumberFormat="0" applyBorder="0" applyAlignment="0" applyProtection="0"/>
    <xf numFmtId="0" fontId="5" fillId="4" borderId="0" applyNumberFormat="0" applyBorder="0" applyAlignment="0" applyProtection="0"/>
    <xf numFmtId="0" fontId="28"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8"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28" fillId="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28"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28" fillId="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8" fillId="11" borderId="0" applyNumberFormat="0" applyBorder="0" applyAlignment="0" applyProtection="0"/>
    <xf numFmtId="0" fontId="29" fillId="0" borderId="0"/>
    <xf numFmtId="0" fontId="30" fillId="0" borderId="0">
      <alignment horizontal="right"/>
    </xf>
    <xf numFmtId="0" fontId="31" fillId="0" borderId="0"/>
    <xf numFmtId="0" fontId="32" fillId="0" borderId="0"/>
    <xf numFmtId="0" fontId="33" fillId="0" borderId="0"/>
    <xf numFmtId="0" fontId="34" fillId="0" borderId="15" applyNumberFormat="0" applyAlignment="0"/>
    <xf numFmtId="0" fontId="27" fillId="0" borderId="0" applyAlignment="0">
      <alignment horizontal="left"/>
    </xf>
    <xf numFmtId="0" fontId="27" fillId="0" borderId="0">
      <alignment horizontal="right"/>
    </xf>
    <xf numFmtId="167" fontId="27" fillId="0" borderId="0">
      <alignment horizontal="right"/>
    </xf>
    <xf numFmtId="165" fontId="35" fillId="0" borderId="0">
      <alignment horizontal="right"/>
    </xf>
    <xf numFmtId="0" fontId="36" fillId="0" borderId="0"/>
    <xf numFmtId="0" fontId="37" fillId="0" borderId="0">
      <alignment horizontal="left"/>
    </xf>
    <xf numFmtId="0" fontId="38" fillId="0" borderId="0">
      <alignment horizontal="left"/>
    </xf>
    <xf numFmtId="0" fontId="27" fillId="0" borderId="0"/>
    <xf numFmtId="0" fontId="39" fillId="0" borderId="0">
      <alignment horizontal="right" vertical="center"/>
    </xf>
    <xf numFmtId="170" fontId="40" fillId="0" borderId="0">
      <alignment horizontal="right" vertical="center"/>
    </xf>
    <xf numFmtId="171" fontId="40" fillId="0" borderId="0">
      <alignment horizontal="right" vertical="center"/>
    </xf>
    <xf numFmtId="172" fontId="40" fillId="0" borderId="0">
      <alignment horizontal="right"/>
    </xf>
    <xf numFmtId="9" fontId="41" fillId="12" borderId="0">
      <alignment horizontal="right" vertical="center"/>
    </xf>
    <xf numFmtId="173" fontId="41" fillId="12" borderId="0">
      <alignment horizontal="right" vertical="center"/>
    </xf>
    <xf numFmtId="174" fontId="41" fillId="0" borderId="16" applyBorder="0">
      <alignment horizontal="right"/>
    </xf>
    <xf numFmtId="175" fontId="27" fillId="0" borderId="0">
      <alignment horizontal="right" vertical="center"/>
    </xf>
    <xf numFmtId="176" fontId="41" fillId="0" borderId="0">
      <alignment horizontal="right"/>
    </xf>
    <xf numFmtId="172" fontId="41" fillId="0" borderId="0">
      <alignment horizontal="right"/>
    </xf>
    <xf numFmtId="167" fontId="41" fillId="0" borderId="0">
      <alignment horizontal="right" vertical="center"/>
    </xf>
    <xf numFmtId="177" fontId="41" fillId="0" borderId="0">
      <alignment horizontal="right" vertical="center"/>
    </xf>
    <xf numFmtId="174" fontId="42" fillId="0" borderId="0">
      <alignment horizontal="right"/>
    </xf>
    <xf numFmtId="170" fontId="41" fillId="0" borderId="0">
      <alignment horizontal="right" vertical="center"/>
    </xf>
    <xf numFmtId="170" fontId="43" fillId="12" borderId="0">
      <alignment horizontal="right" vertical="center"/>
    </xf>
    <xf numFmtId="170" fontId="43" fillId="0" borderId="0" applyFill="0" applyBorder="0">
      <alignment horizontal="right" vertical="center"/>
    </xf>
    <xf numFmtId="170" fontId="41" fillId="0" borderId="0">
      <alignment horizontal="right" vertical="center"/>
    </xf>
    <xf numFmtId="0" fontId="38" fillId="0" borderId="17"/>
    <xf numFmtId="178" fontId="10" fillId="0" borderId="18">
      <alignment horizontal="right"/>
    </xf>
    <xf numFmtId="0" fontId="44" fillId="0" borderId="0">
      <alignment horizontal="center"/>
    </xf>
    <xf numFmtId="0" fontId="43" fillId="0" borderId="0">
      <alignment horizontal="center"/>
    </xf>
    <xf numFmtId="164" fontId="3" fillId="0" borderId="0" applyFont="0" applyFill="0" applyBorder="0" applyAlignment="0" applyProtection="0"/>
    <xf numFmtId="43" fontId="15" fillId="0" borderId="0" applyFont="0" applyFill="0" applyBorder="0" applyAlignment="0" applyProtection="0"/>
    <xf numFmtId="179" fontId="5" fillId="0" borderId="0" applyFont="0" applyFill="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0" borderId="0">
      <alignment vertical="center"/>
    </xf>
    <xf numFmtId="0" fontId="46" fillId="0" borderId="0" applyNumberFormat="0" applyFill="0" applyBorder="0" applyAlignment="0" applyProtection="0">
      <alignment vertical="top"/>
      <protection locked="0"/>
    </xf>
    <xf numFmtId="169" fontId="12" fillId="0" borderId="0"/>
    <xf numFmtId="169" fontId="12" fillId="0" borderId="0"/>
    <xf numFmtId="169" fontId="12" fillId="0" borderId="0"/>
    <xf numFmtId="0" fontId="3" fillId="0" borderId="0"/>
    <xf numFmtId="0" fontId="12" fillId="0" borderId="0"/>
    <xf numFmtId="169" fontId="12" fillId="0" borderId="0"/>
    <xf numFmtId="165" fontId="12" fillId="0" borderId="0"/>
    <xf numFmtId="0" fontId="12" fillId="0" borderId="0"/>
    <xf numFmtId="169" fontId="12" fillId="0" borderId="0"/>
    <xf numFmtId="169" fontId="12" fillId="0" borderId="0"/>
    <xf numFmtId="169" fontId="12" fillId="0" borderId="0"/>
    <xf numFmtId="169" fontId="12" fillId="0" borderId="0"/>
    <xf numFmtId="169" fontId="12" fillId="0" borderId="0"/>
    <xf numFmtId="0" fontId="10" fillId="0" borderId="0"/>
    <xf numFmtId="0" fontId="15" fillId="0" borderId="0"/>
    <xf numFmtId="0" fontId="15" fillId="0" borderId="0"/>
    <xf numFmtId="0" fontId="15" fillId="0" borderId="0"/>
    <xf numFmtId="0" fontId="15" fillId="0" borderId="0"/>
    <xf numFmtId="0" fontId="10" fillId="0" borderId="0" applyFill="0" applyBorder="0"/>
    <xf numFmtId="0" fontId="3" fillId="0" borderId="0"/>
    <xf numFmtId="0" fontId="10" fillId="0" borderId="0" applyFill="0" applyBorder="0"/>
    <xf numFmtId="0" fontId="3" fillId="0" borderId="0"/>
    <xf numFmtId="0" fontId="3" fillId="0" borderId="0"/>
    <xf numFmtId="0" fontId="3" fillId="0" borderId="0"/>
    <xf numFmtId="0" fontId="10" fillId="0" borderId="0" applyFill="0" applyBorder="0"/>
    <xf numFmtId="0" fontId="10" fillId="0" borderId="0" applyFill="0" applyBorder="0"/>
    <xf numFmtId="0" fontId="3" fillId="0" borderId="0"/>
    <xf numFmtId="0" fontId="15" fillId="0" borderId="0"/>
    <xf numFmtId="0" fontId="15" fillId="0" borderId="0"/>
    <xf numFmtId="0" fontId="15" fillId="0" borderId="0"/>
    <xf numFmtId="0" fontId="15" fillId="0" borderId="0"/>
    <xf numFmtId="169" fontId="12" fillId="0" borderId="0"/>
    <xf numFmtId="0" fontId="10" fillId="0" borderId="0" applyFill="0" applyBorder="0"/>
    <xf numFmtId="0" fontId="3" fillId="0" borderId="0"/>
    <xf numFmtId="0" fontId="27" fillId="0" borderId="0">
      <alignment vertical="center"/>
    </xf>
    <xf numFmtId="175" fontId="27" fillId="0" borderId="0">
      <alignment horizontal="right" vertical="center"/>
    </xf>
    <xf numFmtId="9" fontId="3"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48" fillId="0" borderId="0" applyNumberFormat="0" applyFill="0" applyBorder="0" applyAlignment="0" applyProtection="0"/>
    <xf numFmtId="0" fontId="3" fillId="0" borderId="0"/>
    <xf numFmtId="0" fontId="49" fillId="0" borderId="0"/>
    <xf numFmtId="0" fontId="37" fillId="0" borderId="0">
      <alignment horizontal="left"/>
    </xf>
    <xf numFmtId="180" fontId="30" fillId="16" borderId="0">
      <alignment horizontal="right" vertical="center"/>
    </xf>
    <xf numFmtId="0" fontId="37" fillId="0" borderId="0">
      <alignment horizontal="left"/>
    </xf>
    <xf numFmtId="175" fontId="27" fillId="0" borderId="0">
      <alignment horizontal="right" vertical="center"/>
    </xf>
    <xf numFmtId="167" fontId="27" fillId="0" borderId="0">
      <alignment horizontal="right" vertical="center"/>
    </xf>
    <xf numFmtId="0" fontId="30" fillId="0" borderId="0">
      <alignment vertical="center"/>
    </xf>
    <xf numFmtId="0" fontId="50" fillId="0" borderId="1" applyNumberFormat="0">
      <alignment vertical="center"/>
    </xf>
    <xf numFmtId="0" fontId="36" fillId="0" borderId="0">
      <alignment horizontal="left" vertical="center"/>
    </xf>
    <xf numFmtId="181" fontId="27" fillId="0" borderId="0">
      <alignment horizontal="right" vertical="center"/>
    </xf>
    <xf numFmtId="0" fontId="5" fillId="0" borderId="0"/>
    <xf numFmtId="9" fontId="15" fillId="0" borderId="0" applyFont="0" applyFill="0" applyBorder="0" applyAlignment="0" applyProtection="0"/>
  </cellStyleXfs>
  <cellXfs count="312">
    <xf numFmtId="0" fontId="0" fillId="0" borderId="0" xfId="0"/>
    <xf numFmtId="0" fontId="0" fillId="0" borderId="0" xfId="0" applyBorder="1"/>
    <xf numFmtId="0" fontId="4" fillId="0" borderId="4" xfId="0" applyFont="1" applyFill="1" applyBorder="1"/>
    <xf numFmtId="165" fontId="0" fillId="0" borderId="0" xfId="0" applyNumberFormat="1"/>
    <xf numFmtId="0" fontId="0" fillId="0" borderId="0" xfId="0" applyFill="1" applyBorder="1"/>
    <xf numFmtId="0" fontId="0" fillId="0" borderId="0" xfId="0"/>
    <xf numFmtId="0" fontId="0" fillId="0" borderId="0" xfId="0"/>
    <xf numFmtId="0" fontId="6" fillId="0" borderId="7" xfId="0" applyFont="1" applyFill="1" applyBorder="1" applyAlignment="1">
      <alignment horizontal="center"/>
    </xf>
    <xf numFmtId="2" fontId="6" fillId="0" borderId="6" xfId="1" applyNumberFormat="1" applyFont="1" applyFill="1" applyBorder="1" applyAlignment="1">
      <alignment horizontal="right" vertical="center"/>
    </xf>
    <xf numFmtId="2" fontId="6" fillId="0" borderId="10" xfId="1" applyNumberFormat="1" applyFont="1" applyFill="1" applyBorder="1" applyAlignment="1">
      <alignment horizontal="right" vertical="center"/>
    </xf>
    <xf numFmtId="2" fontId="6" fillId="0" borderId="0" xfId="1" applyNumberFormat="1" applyFont="1" applyFill="1" applyBorder="1" applyAlignment="1">
      <alignment horizontal="center" vertical="center"/>
    </xf>
    <xf numFmtId="0" fontId="0" fillId="0" borderId="0" xfId="0" applyFill="1"/>
    <xf numFmtId="0" fontId="4" fillId="0" borderId="0" xfId="0" applyFont="1" applyFill="1"/>
    <xf numFmtId="0" fontId="18" fillId="0" borderId="0" xfId="0" applyFont="1" applyFill="1"/>
    <xf numFmtId="0" fontId="4" fillId="0" borderId="0" xfId="0" applyFont="1" applyFill="1" applyAlignment="1">
      <alignment horizontal="center"/>
    </xf>
    <xf numFmtId="0" fontId="6" fillId="0" borderId="6" xfId="0" applyFont="1" applyFill="1" applyBorder="1" applyAlignment="1">
      <alignment horizontal="center"/>
    </xf>
    <xf numFmtId="0" fontId="14" fillId="0" borderId="0" xfId="0" applyFont="1" applyFill="1"/>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4" xfId="0" applyFont="1" applyFill="1" applyBorder="1" applyAlignment="1"/>
    <xf numFmtId="0" fontId="4" fillId="0" borderId="8" xfId="0" applyFont="1" applyFill="1" applyBorder="1" applyAlignment="1"/>
    <xf numFmtId="0" fontId="6" fillId="0" borderId="8" xfId="0" applyFont="1" applyFill="1" applyBorder="1" applyAlignment="1">
      <alignment horizontal="left" vertical="center" wrapText="1"/>
    </xf>
    <xf numFmtId="0" fontId="6" fillId="0" borderId="6" xfId="0" applyFont="1" applyFill="1" applyBorder="1" applyAlignment="1">
      <alignment horizontal="left" vertical="center" wrapText="1"/>
    </xf>
    <xf numFmtId="0" fontId="4" fillId="0" borderId="0" xfId="0" applyFont="1" applyFill="1" applyAlignment="1">
      <alignment horizontal="left"/>
    </xf>
    <xf numFmtId="0" fontId="0" fillId="0" borderId="0" xfId="0" applyFill="1" applyAlignment="1">
      <alignment wrapText="1"/>
    </xf>
    <xf numFmtId="0" fontId="6" fillId="0" borderId="9" xfId="0" applyFont="1" applyFill="1" applyBorder="1" applyAlignment="1">
      <alignment horizontal="center"/>
    </xf>
    <xf numFmtId="0" fontId="4" fillId="0" borderId="0" xfId="14" applyFont="1" applyFill="1"/>
    <xf numFmtId="0" fontId="6" fillId="0" borderId="0" xfId="14" applyFont="1" applyFill="1" applyAlignment="1">
      <alignment horizontal="right"/>
    </xf>
    <xf numFmtId="0" fontId="6" fillId="0" borderId="6" xfId="14" applyFont="1" applyFill="1" applyBorder="1" applyAlignment="1">
      <alignment horizontal="center" wrapText="1"/>
    </xf>
    <xf numFmtId="0" fontId="6" fillId="0" borderId="6" xfId="14" applyFont="1" applyFill="1" applyBorder="1" applyAlignment="1">
      <alignment horizontal="center"/>
    </xf>
    <xf numFmtId="0" fontId="6" fillId="0" borderId="7" xfId="14" applyFont="1" applyFill="1" applyBorder="1" applyAlignment="1">
      <alignment horizontal="center"/>
    </xf>
    <xf numFmtId="1" fontId="2" fillId="0" borderId="3" xfId="14" applyNumberFormat="1" applyFont="1" applyFill="1" applyBorder="1" applyAlignment="1">
      <alignment horizontal="right"/>
    </xf>
    <xf numFmtId="1" fontId="4" fillId="0" borderId="4" xfId="14" applyNumberFormat="1" applyFont="1" applyFill="1" applyBorder="1"/>
    <xf numFmtId="1" fontId="4" fillId="0" borderId="0" xfId="14" applyNumberFormat="1" applyFont="1" applyFill="1" applyBorder="1"/>
    <xf numFmtId="1" fontId="4" fillId="0" borderId="7" xfId="14" applyNumberFormat="1" applyFont="1" applyFill="1" applyBorder="1"/>
    <xf numFmtId="2" fontId="6" fillId="0" borderId="6" xfId="0" applyNumberFormat="1" applyFont="1" applyFill="1" applyBorder="1" applyAlignment="1">
      <alignment vertical="center" wrapText="1"/>
    </xf>
    <xf numFmtId="0" fontId="4" fillId="0" borderId="0" xfId="14" applyFont="1" applyFill="1" applyAlignment="1">
      <alignment horizontal="right"/>
    </xf>
    <xf numFmtId="0" fontId="4" fillId="0" borderId="0" xfId="14" applyFont="1" applyFill="1" applyAlignment="1"/>
    <xf numFmtId="0" fontId="14" fillId="0" borderId="0" xfId="14" applyFont="1" applyFill="1" applyBorder="1"/>
    <xf numFmtId="2" fontId="0" fillId="0" borderId="0" xfId="0" applyNumberFormat="1" applyFill="1"/>
    <xf numFmtId="166" fontId="6" fillId="0" borderId="6" xfId="0" applyNumberFormat="1" applyFont="1" applyFill="1" applyBorder="1" applyAlignment="1">
      <alignment vertical="center" wrapText="1"/>
    </xf>
    <xf numFmtId="165" fontId="1" fillId="0" borderId="6" xfId="14" applyNumberFormat="1" applyFont="1" applyFill="1" applyBorder="1" applyAlignment="1"/>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2" fontId="0" fillId="0" borderId="0" xfId="0" applyNumberFormat="1"/>
    <xf numFmtId="0" fontId="1" fillId="0" borderId="0" xfId="0" applyFont="1" applyFill="1" applyBorder="1" applyAlignment="1">
      <alignment horizontal="center" vertical="top" wrapText="1"/>
    </xf>
    <xf numFmtId="0" fontId="2" fillId="0" borderId="0" xfId="0" applyFont="1" applyFill="1" applyBorder="1" applyAlignment="1">
      <alignment horizontal="center"/>
    </xf>
    <xf numFmtId="2" fontId="6" fillId="0" borderId="8" xfId="2" applyNumberFormat="1" applyFont="1" applyFill="1" applyBorder="1" applyAlignment="1">
      <alignment horizontal="right" vertical="center"/>
    </xf>
    <xf numFmtId="0" fontId="52" fillId="0" borderId="11" xfId="0" applyFont="1" applyFill="1" applyBorder="1" applyAlignment="1"/>
    <xf numFmtId="0" fontId="2" fillId="0" borderId="11" xfId="0" applyFont="1" applyFill="1" applyBorder="1" applyAlignment="1"/>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4" fillId="0" borderId="3" xfId="0" applyFont="1" applyFill="1" applyBorder="1"/>
    <xf numFmtId="0" fontId="4" fillId="0" borderId="3" xfId="0" applyFont="1" applyFill="1" applyBorder="1" applyAlignment="1"/>
    <xf numFmtId="0" fontId="4" fillId="0" borderId="5" xfId="0" applyFont="1" applyFill="1" applyBorder="1"/>
    <xf numFmtId="2" fontId="1" fillId="0" borderId="4" xfId="0" applyNumberFormat="1" applyFont="1" applyFill="1" applyBorder="1" applyAlignment="1">
      <alignment horizontal="center" vertical="center"/>
    </xf>
    <xf numFmtId="2" fontId="6" fillId="0" borderId="6" xfId="1" applyNumberFormat="1" applyFont="1" applyFill="1" applyBorder="1" applyAlignment="1">
      <alignment horizontal="center" vertical="center"/>
    </xf>
    <xf numFmtId="2" fontId="6" fillId="0" borderId="10" xfId="1" applyNumberFormat="1" applyFont="1" applyFill="1" applyBorder="1" applyAlignment="1">
      <alignment horizontal="center" vertical="center"/>
    </xf>
    <xf numFmtId="182" fontId="4" fillId="0" borderId="0" xfId="1" applyNumberFormat="1" applyFont="1" applyFill="1" applyBorder="1" applyAlignment="1"/>
    <xf numFmtId="0" fontId="3" fillId="0" borderId="0" xfId="0" applyFont="1" applyFill="1"/>
    <xf numFmtId="0" fontId="1" fillId="0" borderId="11" xfId="0" applyFont="1" applyFill="1" applyBorder="1" applyAlignment="1"/>
    <xf numFmtId="0" fontId="1" fillId="0" borderId="7" xfId="0" applyFont="1" applyFill="1" applyBorder="1" applyAlignment="1">
      <alignment horizontal="center"/>
    </xf>
    <xf numFmtId="0" fontId="1" fillId="0" borderId="4" xfId="0" applyFont="1" applyFill="1" applyBorder="1"/>
    <xf numFmtId="0" fontId="1" fillId="0" borderId="8" xfId="0" applyFont="1" applyFill="1" applyBorder="1"/>
    <xf numFmtId="0" fontId="2" fillId="0" borderId="6" xfId="0" applyFont="1" applyFill="1" applyBorder="1" applyAlignment="1">
      <alignment horizontal="left"/>
    </xf>
    <xf numFmtId="2" fontId="4" fillId="0" borderId="0" xfId="1" applyNumberFormat="1" applyFont="1" applyFill="1" applyBorder="1" applyAlignment="1">
      <alignment horizontal="center"/>
    </xf>
    <xf numFmtId="4" fontId="4" fillId="0" borderId="0" xfId="1" applyNumberFormat="1" applyFont="1" applyFill="1" applyBorder="1" applyAlignment="1">
      <alignment horizontal="center"/>
    </xf>
    <xf numFmtId="0" fontId="4" fillId="0" borderId="5" xfId="0" applyFont="1" applyFill="1" applyBorder="1" applyAlignment="1"/>
    <xf numFmtId="0" fontId="6" fillId="0" borderId="8" xfId="0" applyFont="1" applyFill="1" applyBorder="1" applyAlignment="1">
      <alignment vertical="center" wrapText="1"/>
    </xf>
    <xf numFmtId="2" fontId="6" fillId="0" borderId="8" xfId="1" applyNumberFormat="1" applyFont="1" applyFill="1" applyBorder="1" applyAlignment="1">
      <alignment horizontal="center" vertical="center"/>
    </xf>
    <xf numFmtId="182" fontId="14" fillId="0" borderId="0" xfId="1" applyNumberFormat="1" applyFont="1" applyFill="1" applyBorder="1" applyAlignment="1"/>
    <xf numFmtId="2" fontId="4" fillId="0" borderId="7" xfId="1" applyNumberFormat="1" applyFont="1" applyFill="1" applyBorder="1" applyAlignment="1">
      <alignment horizontal="right"/>
    </xf>
    <xf numFmtId="2" fontId="4" fillId="0" borderId="4" xfId="1" applyNumberFormat="1" applyFont="1" applyFill="1" applyBorder="1" applyAlignment="1">
      <alignment horizontal="right"/>
    </xf>
    <xf numFmtId="2" fontId="2" fillId="0" borderId="4" xfId="9" applyNumberFormat="1" applyFont="1" applyFill="1" applyBorder="1" applyAlignment="1">
      <alignment horizontal="right"/>
    </xf>
    <xf numFmtId="2" fontId="2" fillId="0" borderId="4" xfId="0" applyNumberFormat="1" applyFont="1" applyFill="1" applyBorder="1" applyAlignment="1">
      <alignment horizontal="right"/>
    </xf>
    <xf numFmtId="2" fontId="2" fillId="0" borderId="8" xfId="9" applyNumberFormat="1" applyFont="1" applyFill="1" applyBorder="1" applyAlignment="1">
      <alignment horizontal="right"/>
    </xf>
    <xf numFmtId="2" fontId="2" fillId="0" borderId="8" xfId="0" applyNumberFormat="1" applyFont="1" applyFill="1" applyBorder="1" applyAlignment="1">
      <alignment horizontal="right"/>
    </xf>
    <xf numFmtId="2" fontId="4" fillId="0" borderId="8" xfId="1" applyNumberFormat="1" applyFont="1" applyFill="1" applyBorder="1" applyAlignment="1">
      <alignment horizontal="right"/>
    </xf>
    <xf numFmtId="0" fontId="1" fillId="0" borderId="20" xfId="0" applyFont="1" applyFill="1" applyBorder="1" applyAlignment="1">
      <alignment horizontal="center"/>
    </xf>
    <xf numFmtId="1" fontId="4" fillId="0" borderId="0" xfId="1" applyNumberFormat="1" applyFont="1" applyFill="1" applyBorder="1" applyAlignment="1">
      <alignment horizontal="center"/>
    </xf>
    <xf numFmtId="1" fontId="2" fillId="0" borderId="0" xfId="1" applyNumberFormat="1" applyFont="1" applyFill="1" applyBorder="1" applyAlignment="1">
      <alignment horizontal="center"/>
    </xf>
    <xf numFmtId="0" fontId="54" fillId="0" borderId="0" xfId="0" applyFont="1" applyFill="1" applyAlignment="1">
      <alignment horizontal="left"/>
    </xf>
    <xf numFmtId="0" fontId="54" fillId="0" borderId="11" xfId="0" applyFont="1" applyFill="1" applyBorder="1" applyAlignment="1">
      <alignment horizontal="right"/>
    </xf>
    <xf numFmtId="0" fontId="54" fillId="0" borderId="0" xfId="0" applyFont="1" applyFill="1" applyBorder="1" applyAlignment="1">
      <alignment horizontal="right"/>
    </xf>
    <xf numFmtId="0" fontId="0" fillId="0" borderId="0" xfId="0" applyFill="1" applyAlignment="1">
      <alignment horizontal="right"/>
    </xf>
    <xf numFmtId="2" fontId="6" fillId="0" borderId="0" xfId="1" applyNumberFormat="1" applyFont="1" applyFill="1" applyBorder="1" applyAlignment="1">
      <alignment horizontal="right" vertical="center"/>
    </xf>
    <xf numFmtId="0" fontId="6" fillId="0" borderId="6" xfId="0" applyFont="1" applyFill="1" applyBorder="1" applyAlignment="1">
      <alignment horizontal="left" vertical="top" wrapText="1"/>
    </xf>
    <xf numFmtId="0" fontId="6" fillId="0" borderId="9"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9" xfId="0" applyFont="1" applyFill="1" applyBorder="1" applyAlignment="1">
      <alignment horizontal="right" vertical="top" wrapText="1"/>
    </xf>
    <xf numFmtId="0" fontId="6" fillId="0" borderId="22" xfId="0" applyFont="1" applyFill="1" applyBorder="1" applyAlignment="1">
      <alignment horizontal="center"/>
    </xf>
    <xf numFmtId="0" fontId="4" fillId="0" borderId="3" xfId="0" applyFont="1" applyFill="1" applyBorder="1" applyAlignment="1">
      <alignment horizontal="left"/>
    </xf>
    <xf numFmtId="1" fontId="4" fillId="0" borderId="7" xfId="1" applyNumberFormat="1" applyFont="1" applyFill="1" applyBorder="1" applyAlignment="1">
      <alignment horizontal="right"/>
    </xf>
    <xf numFmtId="1" fontId="4" fillId="0" borderId="0" xfId="1" applyNumberFormat="1" applyFont="1" applyFill="1" applyBorder="1" applyAlignment="1">
      <alignment horizontal="right"/>
    </xf>
    <xf numFmtId="1" fontId="0" fillId="0" borderId="0" xfId="0" applyNumberFormat="1" applyFill="1"/>
    <xf numFmtId="1" fontId="4" fillId="0" borderId="4" xfId="1" applyNumberFormat="1" applyFont="1" applyFill="1" applyBorder="1" applyAlignment="1">
      <alignment horizontal="right"/>
    </xf>
    <xf numFmtId="3" fontId="0" fillId="0" borderId="0" xfId="0" applyNumberFormat="1" applyFill="1"/>
    <xf numFmtId="1" fontId="4" fillId="0" borderId="8" xfId="1" applyNumberFormat="1" applyFont="1" applyFill="1" applyBorder="1" applyAlignment="1">
      <alignment horizontal="right"/>
    </xf>
    <xf numFmtId="0" fontId="4" fillId="0" borderId="0" xfId="0" applyFont="1" applyFill="1" applyBorder="1" applyAlignment="1">
      <alignment horizontal="left" vertical="top"/>
    </xf>
    <xf numFmtId="0" fontId="0" fillId="0" borderId="0" xfId="0" applyFill="1" applyAlignment="1">
      <alignment vertical="top"/>
    </xf>
    <xf numFmtId="0" fontId="2" fillId="0" borderId="0" xfId="0" applyFont="1" applyFill="1" applyAlignment="1">
      <alignment horizontal="right"/>
    </xf>
    <xf numFmtId="0" fontId="6" fillId="0" borderId="0" xfId="0" applyFont="1" applyFill="1" applyBorder="1" applyAlignment="1">
      <alignment horizontal="left" vertical="top" wrapText="1"/>
    </xf>
    <xf numFmtId="182" fontId="4" fillId="0" borderId="0" xfId="1" applyNumberFormat="1" applyFont="1" applyFill="1" applyBorder="1" applyAlignment="1">
      <alignment horizontal="right" vertical="center"/>
    </xf>
    <xf numFmtId="1" fontId="2" fillId="0" borderId="7" xfId="1214" applyNumberFormat="1" applyFont="1" applyFill="1" applyBorder="1" applyAlignment="1">
      <alignment horizontal="right"/>
    </xf>
    <xf numFmtId="1" fontId="2" fillId="0" borderId="4" xfId="1214" applyNumberFormat="1" applyFont="1" applyFill="1" applyBorder="1" applyAlignment="1">
      <alignment horizontal="right"/>
    </xf>
    <xf numFmtId="0" fontId="6" fillId="0" borderId="0" xfId="0" applyFont="1" applyFill="1" applyBorder="1" applyAlignment="1">
      <alignment horizontal="center" vertical="top" wrapText="1"/>
    </xf>
    <xf numFmtId="0" fontId="6" fillId="0" borderId="0" xfId="0" applyFont="1" applyFill="1" applyBorder="1" applyAlignment="1">
      <alignment horizontal="right" vertical="top" wrapText="1"/>
    </xf>
    <xf numFmtId="0" fontId="54" fillId="0" borderId="0" xfId="0" applyFont="1" applyFill="1"/>
    <xf numFmtId="0" fontId="55" fillId="0" borderId="0" xfId="0" applyFont="1" applyFill="1" applyBorder="1"/>
    <xf numFmtId="0" fontId="6" fillId="0" borderId="0" xfId="0" applyFont="1" applyFill="1" applyBorder="1" applyAlignment="1">
      <alignment horizontal="right"/>
    </xf>
    <xf numFmtId="0" fontId="6" fillId="0" borderId="23" xfId="0" applyFont="1" applyFill="1" applyBorder="1" applyAlignment="1">
      <alignment horizontal="center" vertical="top" wrapText="1"/>
    </xf>
    <xf numFmtId="0" fontId="6" fillId="0" borderId="23" xfId="0" applyFont="1" applyFill="1" applyBorder="1" applyAlignment="1">
      <alignment horizontal="center"/>
    </xf>
    <xf numFmtId="0" fontId="56" fillId="0" borderId="0" xfId="0" applyFont="1" applyFill="1" applyAlignment="1">
      <alignment vertical="top" wrapText="1"/>
    </xf>
    <xf numFmtId="2" fontId="2" fillId="0" borderId="7" xfId="1" quotePrefix="1" applyNumberFormat="1" applyFont="1" applyFill="1" applyBorder="1" applyAlignment="1">
      <alignment horizontal="right"/>
    </xf>
    <xf numFmtId="2" fontId="2" fillId="0" borderId="7" xfId="1" applyNumberFormat="1" applyFont="1" applyFill="1" applyBorder="1" applyAlignment="1">
      <alignment horizontal="right"/>
    </xf>
    <xf numFmtId="2" fontId="2" fillId="0" borderId="7" xfId="1214" applyNumberFormat="1" applyFont="1" applyFill="1" applyBorder="1" applyAlignment="1">
      <alignment horizontal="right"/>
    </xf>
    <xf numFmtId="2" fontId="2" fillId="0" borderId="4" xfId="1" applyNumberFormat="1" applyFont="1" applyFill="1" applyBorder="1" applyAlignment="1">
      <alignment horizontal="right"/>
    </xf>
    <xf numFmtId="2" fontId="2" fillId="0" borderId="4" xfId="1214" applyNumberFormat="1" applyFont="1" applyFill="1" applyBorder="1" applyAlignment="1">
      <alignment horizontal="right"/>
    </xf>
    <xf numFmtId="2" fontId="2" fillId="0" borderId="8" xfId="1" applyNumberFormat="1" applyFont="1" applyFill="1" applyBorder="1" applyAlignment="1">
      <alignment horizontal="right"/>
    </xf>
    <xf numFmtId="2" fontId="2" fillId="0" borderId="8" xfId="1214" applyNumberFormat="1" applyFont="1" applyFill="1" applyBorder="1" applyAlignment="1">
      <alignment horizontal="right"/>
    </xf>
    <xf numFmtId="0" fontId="4" fillId="0" borderId="0" xfId="0" applyFont="1" applyFill="1" applyBorder="1" applyAlignment="1">
      <alignment horizontal="left"/>
    </xf>
    <xf numFmtId="0" fontId="56" fillId="0" borderId="0" xfId="0" applyFont="1" applyFill="1" applyAlignment="1">
      <alignment horizontal="center" vertical="top" wrapText="1"/>
    </xf>
    <xf numFmtId="0" fontId="0" fillId="0" borderId="0" xfId="0" applyFill="1" applyBorder="1" applyAlignment="1">
      <alignment horizontal="right"/>
    </xf>
    <xf numFmtId="0" fontId="6" fillId="0" borderId="0" xfId="0" applyFont="1" applyFill="1" applyBorder="1" applyAlignment="1">
      <alignment horizontal="center"/>
    </xf>
    <xf numFmtId="0" fontId="6" fillId="0" borderId="0" xfId="0" applyFont="1" applyFill="1" applyBorder="1" applyAlignment="1">
      <alignment horizontal="left"/>
    </xf>
    <xf numFmtId="0" fontId="57" fillId="0" borderId="0" xfId="0" applyFont="1" applyFill="1" applyBorder="1" applyAlignment="1">
      <alignment horizontal="right"/>
    </xf>
    <xf numFmtId="1" fontId="2" fillId="0" borderId="0" xfId="1214" applyNumberFormat="1" applyFont="1" applyFill="1" applyBorder="1" applyAlignment="1">
      <alignment horizontal="center"/>
    </xf>
    <xf numFmtId="0" fontId="4" fillId="0" borderId="0" xfId="0" applyFont="1" applyFill="1" applyBorder="1" applyAlignment="1">
      <alignment horizontal="right"/>
    </xf>
    <xf numFmtId="0" fontId="4" fillId="0" borderId="5" xfId="0" applyFont="1" applyFill="1" applyBorder="1" applyAlignment="1">
      <alignment horizontal="left"/>
    </xf>
    <xf numFmtId="0" fontId="4"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top" wrapText="1"/>
    </xf>
    <xf numFmtId="2" fontId="4" fillId="0" borderId="2" xfId="1" applyNumberFormat="1" applyFont="1" applyFill="1" applyBorder="1" applyAlignment="1">
      <alignment horizontal="right"/>
    </xf>
    <xf numFmtId="1" fontId="1" fillId="0" borderId="6" xfId="12" applyNumberFormat="1" applyFont="1" applyFill="1" applyBorder="1" applyAlignment="1">
      <alignment horizontal="center" vertical="top"/>
    </xf>
    <xf numFmtId="17" fontId="1" fillId="0" borderId="6" xfId="0" applyNumberFormat="1" applyFont="1" applyFill="1" applyBorder="1" applyAlignment="1">
      <alignment horizontal="center" vertical="top"/>
    </xf>
    <xf numFmtId="1" fontId="1" fillId="0" borderId="22" xfId="12" applyNumberFormat="1" applyFont="1" applyFill="1" applyBorder="1" applyAlignment="1">
      <alignment horizontal="center" vertical="top"/>
    </xf>
    <xf numFmtId="1" fontId="1" fillId="0" borderId="6" xfId="12" applyNumberFormat="1" applyFont="1" applyFill="1" applyBorder="1" applyAlignment="1">
      <alignment horizontal="center" vertical="top" wrapText="1"/>
    </xf>
    <xf numFmtId="1" fontId="1" fillId="0" borderId="7" xfId="12" applyNumberFormat="1"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7" xfId="0" applyNumberFormat="1" applyFont="1" applyFill="1" applyBorder="1" applyAlignment="1">
      <alignment horizontal="center" vertical="center"/>
    </xf>
    <xf numFmtId="4" fontId="2" fillId="0" borderId="19" xfId="9" applyNumberFormat="1" applyFont="1" applyFill="1" applyBorder="1" applyAlignment="1">
      <alignment horizontal="left" vertical="center"/>
    </xf>
    <xf numFmtId="4" fontId="2" fillId="0" borderId="7" xfId="12" applyNumberFormat="1" applyFont="1" applyFill="1" applyBorder="1" applyAlignment="1">
      <alignment horizontal="right" vertical="center"/>
    </xf>
    <xf numFmtId="4" fontId="2" fillId="0" borderId="19" xfId="12" applyNumberFormat="1" applyFont="1" applyFill="1" applyBorder="1" applyAlignment="1">
      <alignment horizontal="right" vertical="center"/>
    </xf>
    <xf numFmtId="4" fontId="2" fillId="0" borderId="3" xfId="11" applyNumberFormat="1" applyFont="1" applyFill="1" applyBorder="1" applyAlignment="1">
      <alignment horizontal="left" vertical="center"/>
    </xf>
    <xf numFmtId="4" fontId="2" fillId="0" borderId="4" xfId="12" applyNumberFormat="1" applyFont="1" applyFill="1" applyBorder="1" applyAlignment="1">
      <alignment horizontal="right" vertical="center"/>
    </xf>
    <xf numFmtId="4" fontId="2" fillId="0" borderId="3" xfId="12" applyNumberFormat="1" applyFont="1" applyFill="1" applyBorder="1" applyAlignment="1">
      <alignment horizontal="right" vertical="center"/>
    </xf>
    <xf numFmtId="4" fontId="2" fillId="0" borderId="3" xfId="11" applyNumberFormat="1" applyFont="1" applyFill="1" applyBorder="1" applyAlignment="1">
      <alignment horizontal="left" vertical="center" wrapText="1"/>
    </xf>
    <xf numFmtId="4" fontId="2" fillId="0" borderId="3" xfId="9" applyNumberFormat="1" applyFont="1" applyFill="1" applyBorder="1" applyAlignment="1">
      <alignment horizontal="left" vertical="center"/>
    </xf>
    <xf numFmtId="4" fontId="2" fillId="0" borderId="8" xfId="12" applyNumberFormat="1" applyFont="1" applyFill="1" applyBorder="1" applyAlignment="1">
      <alignment horizontal="right" vertical="center"/>
    </xf>
    <xf numFmtId="4" fontId="1" fillId="0" borderId="20" xfId="12" quotePrefix="1" applyNumberFormat="1" applyFont="1" applyFill="1" applyBorder="1" applyAlignment="1">
      <alignment horizontal="left" vertical="center"/>
    </xf>
    <xf numFmtId="4" fontId="1" fillId="0" borderId="6" xfId="12" applyNumberFormat="1" applyFont="1" applyFill="1" applyBorder="1" applyAlignment="1">
      <alignment horizontal="right" vertical="center"/>
    </xf>
    <xf numFmtId="4" fontId="1" fillId="0" borderId="4" xfId="12" applyNumberFormat="1" applyFont="1" applyFill="1" applyBorder="1" applyAlignment="1">
      <alignment horizontal="right" vertical="center"/>
    </xf>
    <xf numFmtId="4" fontId="2" fillId="0" borderId="19" xfId="9" applyNumberFormat="1" applyFont="1" applyFill="1" applyBorder="1"/>
    <xf numFmtId="4" fontId="2" fillId="0" borderId="3" xfId="11" applyNumberFormat="1" applyFont="1" applyFill="1" applyBorder="1"/>
    <xf numFmtId="4" fontId="2" fillId="0" borderId="3" xfId="9" applyNumberFormat="1" applyFont="1" applyFill="1" applyBorder="1" applyAlignment="1">
      <alignment horizontal="left"/>
    </xf>
    <xf numFmtId="4" fontId="2" fillId="0" borderId="5" xfId="12" applyNumberFormat="1" applyFont="1" applyFill="1" applyBorder="1" applyAlignment="1">
      <alignment horizontal="right" vertical="center"/>
    </xf>
    <xf numFmtId="4" fontId="1" fillId="0" borderId="6" xfId="12" quotePrefix="1" applyNumberFormat="1" applyFont="1" applyFill="1" applyBorder="1" applyAlignment="1">
      <alignment horizontal="left" vertical="center"/>
    </xf>
    <xf numFmtId="4" fontId="1" fillId="0" borderId="8" xfId="12" applyNumberFormat="1" applyFont="1" applyFill="1" applyBorder="1" applyAlignment="1">
      <alignment horizontal="right" vertical="center"/>
    </xf>
    <xf numFmtId="4" fontId="1" fillId="0" borderId="6" xfId="12" applyNumberFormat="1" applyFont="1" applyFill="1" applyBorder="1" applyAlignment="1">
      <alignment vertical="center" wrapText="1"/>
    </xf>
    <xf numFmtId="4" fontId="1" fillId="0" borderId="6" xfId="0" applyNumberFormat="1" applyFont="1" applyFill="1" applyBorder="1" applyAlignment="1">
      <alignment horizontal="left" vertical="center" wrapText="1"/>
    </xf>
    <xf numFmtId="4" fontId="1" fillId="0" borderId="6" xfId="9" applyNumberFormat="1" applyFont="1" applyFill="1" applyBorder="1" applyAlignment="1">
      <alignment horizontal="right" vertical="center"/>
    </xf>
    <xf numFmtId="4" fontId="1" fillId="0" borderId="6" xfId="9" quotePrefix="1" applyNumberFormat="1" applyFont="1" applyFill="1" applyBorder="1" applyAlignment="1">
      <alignment horizontal="center" vertical="center"/>
    </xf>
    <xf numFmtId="169" fontId="59" fillId="0" borderId="0" xfId="11" applyNumberFormat="1" applyFont="1" applyFill="1" applyBorder="1"/>
    <xf numFmtId="1" fontId="59" fillId="0" borderId="0" xfId="12" applyNumberFormat="1" applyFont="1" applyFill="1"/>
    <xf numFmtId="1" fontId="59" fillId="0" borderId="0" xfId="12" applyNumberFormat="1" applyFont="1" applyFill="1" applyAlignment="1">
      <alignment horizontal="left"/>
    </xf>
    <xf numFmtId="1" fontId="2" fillId="0" borderId="0" xfId="12" applyNumberFormat="1" applyFont="1" applyFill="1"/>
    <xf numFmtId="0" fontId="60" fillId="0" borderId="0" xfId="0" applyFont="1" applyFill="1"/>
    <xf numFmtId="0" fontId="61" fillId="0" borderId="0" xfId="0" applyFont="1" applyFill="1"/>
    <xf numFmtId="4" fontId="1" fillId="0" borderId="7" xfId="12" applyNumberFormat="1" applyFont="1" applyFill="1" applyBorder="1" applyAlignment="1">
      <alignment horizontal="right" vertical="center"/>
    </xf>
    <xf numFmtId="4" fontId="59" fillId="0" borderId="3" xfId="11" applyNumberFormat="1" applyFont="1" applyFill="1" applyBorder="1" applyAlignment="1">
      <alignment horizontal="left" vertical="center" wrapText="1"/>
    </xf>
    <xf numFmtId="0" fontId="51" fillId="0" borderId="0" xfId="0" applyFont="1" applyFill="1"/>
    <xf numFmtId="3" fontId="4" fillId="0" borderId="0" xfId="1" applyNumberFormat="1" applyFont="1" applyFill="1" applyBorder="1" applyAlignment="1">
      <alignment horizontal="center"/>
    </xf>
    <xf numFmtId="0" fontId="6" fillId="0" borderId="20" xfId="0" applyFont="1" applyFill="1" applyBorder="1" applyAlignment="1">
      <alignment horizontal="center"/>
    </xf>
    <xf numFmtId="0" fontId="4" fillId="0" borderId="4" xfId="0" applyFont="1" applyFill="1" applyBorder="1" applyAlignment="1">
      <alignment horizontal="left"/>
    </xf>
    <xf numFmtId="3" fontId="4" fillId="0" borderId="3" xfId="1" applyNumberFormat="1" applyFont="1" applyFill="1" applyBorder="1" applyAlignment="1">
      <alignment horizontal="center"/>
    </xf>
    <xf numFmtId="0" fontId="4" fillId="0" borderId="8" xfId="0" applyFont="1" applyFill="1" applyBorder="1" applyAlignment="1">
      <alignment horizontal="left"/>
    </xf>
    <xf numFmtId="0" fontId="1" fillId="0" borderId="8" xfId="0" applyFont="1" applyFill="1" applyBorder="1" applyAlignment="1">
      <alignment horizontal="center" vertical="center" wrapText="1"/>
    </xf>
    <xf numFmtId="0" fontId="6" fillId="0" borderId="7" xfId="0" applyFont="1" applyFill="1" applyBorder="1" applyAlignment="1">
      <alignment horizontal="center" vertical="top"/>
    </xf>
    <xf numFmtId="0" fontId="0" fillId="0" borderId="0" xfId="0" applyFill="1" applyAlignment="1">
      <alignment horizontal="center" wrapText="1"/>
    </xf>
    <xf numFmtId="0" fontId="65" fillId="0" borderId="6" xfId="0" applyFont="1" applyFill="1" applyBorder="1" applyAlignment="1">
      <alignment horizontal="center"/>
    </xf>
    <xf numFmtId="0" fontId="4" fillId="0" borderId="4" xfId="0" applyFont="1" applyFill="1" applyBorder="1" applyAlignment="1">
      <alignment horizontal="center"/>
    </xf>
    <xf numFmtId="0" fontId="4" fillId="0" borderId="8" xfId="0" applyFont="1" applyFill="1" applyBorder="1" applyAlignment="1">
      <alignment horizontal="center"/>
    </xf>
    <xf numFmtId="183" fontId="4" fillId="0" borderId="0" xfId="1" applyNumberFormat="1" applyFont="1" applyFill="1" applyBorder="1" applyAlignment="1">
      <alignment horizontal="center"/>
    </xf>
    <xf numFmtId="182" fontId="4" fillId="0" borderId="0" xfId="1" applyNumberFormat="1" applyFont="1" applyFill="1"/>
    <xf numFmtId="0" fontId="6" fillId="0" borderId="7" xfId="0" applyFont="1" applyFill="1" applyBorder="1" applyAlignment="1">
      <alignment horizontal="center" vertical="center" wrapText="1"/>
    </xf>
    <xf numFmtId="0" fontId="1" fillId="0" borderId="7" xfId="0" applyFont="1" applyFill="1" applyBorder="1" applyAlignment="1">
      <alignment horizontal="center" vertical="top"/>
    </xf>
    <xf numFmtId="0" fontId="6" fillId="0" borderId="0" xfId="0" applyFont="1" applyFill="1"/>
    <xf numFmtId="0" fontId="6" fillId="0" borderId="0" xfId="0" applyFont="1" applyFill="1" applyAlignment="1">
      <alignment horizontal="right"/>
    </xf>
    <xf numFmtId="0" fontId="1" fillId="0" borderId="6" xfId="0" applyFont="1" applyFill="1" applyBorder="1" applyAlignment="1">
      <alignment horizontal="left" vertical="center" wrapText="1"/>
    </xf>
    <xf numFmtId="2" fontId="6" fillId="0" borderId="9" xfId="3" applyNumberFormat="1" applyFont="1" applyFill="1" applyBorder="1" applyAlignment="1">
      <alignment horizontal="right" vertical="center"/>
    </xf>
    <xf numFmtId="0" fontId="57" fillId="0" borderId="0" xfId="0" applyFont="1" applyFill="1" applyBorder="1" applyAlignment="1">
      <alignment horizontal="left"/>
    </xf>
    <xf numFmtId="182" fontId="2" fillId="0" borderId="0" xfId="3" applyNumberFormat="1" applyFont="1" applyFill="1" applyBorder="1" applyAlignment="1">
      <alignment horizontal="center"/>
    </xf>
    <xf numFmtId="0" fontId="4" fillId="0" borderId="0" xfId="0" applyFont="1" applyFill="1" applyBorder="1"/>
    <xf numFmtId="0" fontId="6" fillId="0" borderId="9" xfId="0" applyFont="1" applyFill="1" applyBorder="1" applyAlignment="1">
      <alignment horizontal="center" vertical="center" wrapText="1"/>
    </xf>
    <xf numFmtId="0" fontId="1" fillId="0" borderId="4" xfId="0" applyFont="1" applyFill="1" applyBorder="1" applyAlignment="1">
      <alignment horizontal="center" vertical="top"/>
    </xf>
    <xf numFmtId="1" fontId="66" fillId="0" borderId="0" xfId="0" applyNumberFormat="1" applyFont="1" applyFill="1"/>
    <xf numFmtId="3" fontId="4" fillId="0" borderId="7" xfId="1" applyNumberFormat="1" applyFont="1" applyFill="1" applyBorder="1" applyAlignment="1">
      <alignment horizontal="right"/>
    </xf>
    <xf numFmtId="3" fontId="4" fillId="0" borderId="4" xfId="1" applyNumberFormat="1" applyFont="1" applyFill="1" applyBorder="1" applyAlignment="1">
      <alignment horizontal="right"/>
    </xf>
    <xf numFmtId="3" fontId="4" fillId="0" borderId="8" xfId="1" applyNumberFormat="1" applyFont="1" applyFill="1" applyBorder="1" applyAlignment="1">
      <alignment horizontal="right"/>
    </xf>
    <xf numFmtId="2" fontId="6" fillId="0" borderId="8" xfId="1" applyNumberFormat="1" applyFont="1" applyFill="1" applyBorder="1" applyAlignment="1">
      <alignment horizontal="right" vertical="center"/>
    </xf>
    <xf numFmtId="2" fontId="4" fillId="0" borderId="4" xfId="3" applyNumberFormat="1" applyFont="1" applyFill="1" applyBorder="1" applyAlignment="1">
      <alignment horizontal="right"/>
    </xf>
    <xf numFmtId="2" fontId="2" fillId="0" borderId="4" xfId="3" applyNumberFormat="1" applyFont="1" applyFill="1" applyBorder="1" applyAlignment="1">
      <alignment horizontal="right"/>
    </xf>
    <xf numFmtId="2" fontId="4" fillId="0" borderId="4" xfId="3" applyNumberFormat="1" applyFont="1" applyFill="1" applyBorder="1" applyAlignment="1">
      <alignment horizontal="right" vertical="center"/>
    </xf>
    <xf numFmtId="2" fontId="2" fillId="0" borderId="2" xfId="3" applyNumberFormat="1" applyFont="1" applyFill="1" applyBorder="1" applyAlignment="1">
      <alignment horizontal="right"/>
    </xf>
    <xf numFmtId="2" fontId="2" fillId="0" borderId="4" xfId="3" applyNumberFormat="1" applyFont="1" applyFill="1" applyBorder="1" applyAlignment="1">
      <alignment horizontal="right" vertical="center"/>
    </xf>
    <xf numFmtId="2" fontId="6" fillId="0" borderId="6" xfId="1215" applyNumberFormat="1" applyFont="1" applyFill="1" applyBorder="1" applyAlignment="1">
      <alignment horizontal="right" vertical="center"/>
    </xf>
    <xf numFmtId="4" fontId="6" fillId="0" borderId="10" xfId="1" applyNumberFormat="1" applyFont="1" applyFill="1" applyBorder="1" applyAlignment="1">
      <alignment horizontal="right" vertical="center"/>
    </xf>
    <xf numFmtId="4" fontId="6" fillId="0" borderId="9" xfId="1" applyNumberFormat="1" applyFont="1" applyFill="1" applyBorder="1" applyAlignment="1">
      <alignment horizontal="right" vertical="center"/>
    </xf>
    <xf numFmtId="2" fontId="6" fillId="0" borderId="9" xfId="1" applyNumberFormat="1" applyFont="1" applyFill="1" applyBorder="1" applyAlignment="1">
      <alignment horizontal="right" vertical="center"/>
    </xf>
    <xf numFmtId="2" fontId="6" fillId="0" borderId="9" xfId="1" quotePrefix="1" applyNumberFormat="1" applyFont="1" applyFill="1" applyBorder="1" applyAlignment="1">
      <alignment horizontal="right" vertical="center"/>
    </xf>
    <xf numFmtId="2" fontId="1" fillId="0" borderId="8" xfId="1" applyNumberFormat="1" applyFont="1" applyFill="1" applyBorder="1" applyAlignment="1">
      <alignment horizontal="right" vertical="center"/>
    </xf>
    <xf numFmtId="2" fontId="6" fillId="0" borderId="8" xfId="1" quotePrefix="1" applyNumberFormat="1" applyFont="1" applyFill="1" applyBorder="1" applyAlignment="1">
      <alignment horizontal="right" vertical="center"/>
    </xf>
    <xf numFmtId="2" fontId="6" fillId="0" borderId="10" xfId="1" quotePrefix="1" applyNumberFormat="1" applyFont="1" applyFill="1" applyBorder="1" applyAlignment="1">
      <alignment horizontal="right" vertical="center"/>
    </xf>
    <xf numFmtId="2" fontId="1" fillId="0" borderId="4" xfId="0" applyNumberFormat="1" applyFont="1" applyFill="1" applyBorder="1" applyAlignment="1">
      <alignment horizontal="right" vertical="center"/>
    </xf>
    <xf numFmtId="4" fontId="4" fillId="0" borderId="4" xfId="1" applyNumberFormat="1" applyFont="1" applyFill="1" applyBorder="1" applyAlignment="1">
      <alignment horizontal="right"/>
    </xf>
    <xf numFmtId="0" fontId="0" fillId="0" borderId="0" xfId="0" applyAlignment="1">
      <alignment horizontal="center"/>
    </xf>
    <xf numFmtId="2" fontId="2" fillId="0" borderId="4" xfId="3" applyNumberFormat="1" applyFont="1" applyFill="1" applyBorder="1" applyAlignment="1">
      <alignment horizontal="left"/>
    </xf>
    <xf numFmtId="2" fontId="51" fillId="0" borderId="0" xfId="0" applyNumberFormat="1" applyFont="1"/>
    <xf numFmtId="2" fontId="6" fillId="0" borderId="0" xfId="3" applyNumberFormat="1" applyFont="1" applyBorder="1" applyAlignment="1">
      <alignment horizontal="right"/>
    </xf>
    <xf numFmtId="0" fontId="4" fillId="0" borderId="0" xfId="0" applyFont="1" applyFill="1" applyBorder="1" applyAlignment="1">
      <alignment horizontal="left" wrapText="1"/>
    </xf>
    <xf numFmtId="0" fontId="4" fillId="0" borderId="0" xfId="0" applyFont="1" applyFill="1" applyAlignment="1">
      <alignment vertical="top" wrapText="1"/>
    </xf>
    <xf numFmtId="0" fontId="4" fillId="0" borderId="0" xfId="0" applyFont="1" applyAlignment="1">
      <alignment horizontal="left" vertical="top" wrapText="1"/>
    </xf>
    <xf numFmtId="0" fontId="4" fillId="0" borderId="0" xfId="0" applyFont="1"/>
    <xf numFmtId="166" fontId="0" fillId="0" borderId="0" xfId="0" applyNumberFormat="1"/>
    <xf numFmtId="2" fontId="67" fillId="0" borderId="0" xfId="0" applyNumberFormat="1" applyFont="1"/>
    <xf numFmtId="2" fontId="4" fillId="0" borderId="2" xfId="3" applyNumberFormat="1" applyFont="1" applyFill="1" applyBorder="1" applyAlignment="1">
      <alignment horizontal="right" vertical="center"/>
    </xf>
    <xf numFmtId="2" fontId="4" fillId="0" borderId="0" xfId="3" applyNumberFormat="1" applyFont="1" applyFill="1" applyBorder="1" applyAlignment="1">
      <alignment horizontal="right" vertical="center"/>
    </xf>
    <xf numFmtId="2" fontId="6" fillId="0" borderId="8" xfId="2" quotePrefix="1" applyNumberFormat="1" applyFont="1" applyFill="1" applyBorder="1" applyAlignment="1">
      <alignment horizontal="right" vertical="center"/>
    </xf>
    <xf numFmtId="0" fontId="1" fillId="0" borderId="8" xfId="0" applyFont="1" applyFill="1" applyBorder="1" applyAlignment="1">
      <alignment horizontal="left" vertical="center" wrapText="1"/>
    </xf>
    <xf numFmtId="4" fontId="4" fillId="0" borderId="4" xfId="3" applyNumberFormat="1" applyFont="1" applyFill="1" applyBorder="1" applyAlignment="1"/>
    <xf numFmtId="4" fontId="4" fillId="0" borderId="0" xfId="3" applyNumberFormat="1" applyFont="1" applyFill="1" applyBorder="1" applyAlignment="1"/>
    <xf numFmtId="4" fontId="2" fillId="0" borderId="7" xfId="17" applyNumberFormat="1" applyFont="1" applyFill="1" applyBorder="1" applyAlignment="1"/>
    <xf numFmtId="4" fontId="4" fillId="0" borderId="7" xfId="3" applyNumberFormat="1" applyFont="1" applyFill="1" applyBorder="1" applyAlignment="1"/>
    <xf numFmtId="4" fontId="17" fillId="0" borderId="2" xfId="1" applyNumberFormat="1" applyFont="1" applyFill="1" applyBorder="1" applyAlignment="1"/>
    <xf numFmtId="4" fontId="2" fillId="0" borderId="4" xfId="17" applyNumberFormat="1" applyFont="1" applyFill="1" applyBorder="1" applyAlignment="1"/>
    <xf numFmtId="4" fontId="2" fillId="0" borderId="4" xfId="7" applyNumberFormat="1" applyFont="1" applyFill="1" applyBorder="1" applyAlignment="1"/>
    <xf numFmtId="4" fontId="2" fillId="0" borderId="3" xfId="3" applyNumberFormat="1" applyFont="1" applyFill="1" applyBorder="1" applyAlignment="1"/>
    <xf numFmtId="4" fontId="2" fillId="0" borderId="10" xfId="3" applyNumberFormat="1" applyFont="1" applyFill="1" applyBorder="1" applyAlignment="1"/>
    <xf numFmtId="4" fontId="2" fillId="0" borderId="5" xfId="3" applyNumberFormat="1" applyFont="1" applyFill="1" applyBorder="1" applyAlignment="1"/>
    <xf numFmtId="4" fontId="2" fillId="0" borderId="8" xfId="7" applyNumberFormat="1" applyFont="1" applyFill="1" applyBorder="1" applyAlignment="1"/>
    <xf numFmtId="4" fontId="4" fillId="0" borderId="8" xfId="3" applyNumberFormat="1" applyFont="1" applyFill="1" applyBorder="1" applyAlignment="1"/>
    <xf numFmtId="2" fontId="6" fillId="0" borderId="6" xfId="1" applyNumberFormat="1" applyFont="1" applyFill="1" applyBorder="1" applyAlignment="1">
      <alignment vertical="center"/>
    </xf>
    <xf numFmtId="2" fontId="6" fillId="0" borderId="10" xfId="1" applyNumberFormat="1" applyFont="1" applyFill="1" applyBorder="1" applyAlignment="1">
      <alignment vertical="center"/>
    </xf>
    <xf numFmtId="166" fontId="6" fillId="0" borderId="10" xfId="1" applyNumberFormat="1" applyFont="1" applyFill="1" applyBorder="1" applyAlignment="1">
      <alignment vertical="center"/>
    </xf>
    <xf numFmtId="182" fontId="2" fillId="0" borderId="0" xfId="3" quotePrefix="1" applyNumberFormat="1" applyFont="1" applyFill="1" applyBorder="1" applyAlignment="1">
      <alignment horizontal="center"/>
    </xf>
    <xf numFmtId="4" fontId="2" fillId="0" borderId="4" xfId="3" applyNumberFormat="1" applyFont="1" applyFill="1" applyBorder="1" applyAlignment="1"/>
    <xf numFmtId="0" fontId="68" fillId="0" borderId="0" xfId="0" applyFont="1" applyFill="1"/>
    <xf numFmtId="1" fontId="69" fillId="0" borderId="0" xfId="12" applyNumberFormat="1" applyFont="1" applyFill="1"/>
    <xf numFmtId="0" fontId="9" fillId="0" borderId="0" xfId="0" applyFont="1" applyFill="1" applyAlignment="1">
      <alignment horizontal="center" vertical="top" wrapText="1"/>
    </xf>
    <xf numFmtId="0" fontId="52" fillId="0" borderId="0" xfId="0" applyFont="1" applyFill="1" applyBorder="1" applyAlignment="1"/>
    <xf numFmtId="0" fontId="6" fillId="0" borderId="0" xfId="0" applyFont="1" applyFill="1" applyBorder="1" applyAlignment="1">
      <alignment horizontal="center" vertical="center" wrapText="1"/>
    </xf>
    <xf numFmtId="2" fontId="4" fillId="0" borderId="0" xfId="1" applyNumberFormat="1" applyFont="1" applyFill="1" applyBorder="1" applyAlignment="1">
      <alignment horizontal="right"/>
    </xf>
    <xf numFmtId="2" fontId="2" fillId="0" borderId="0" xfId="0" applyNumberFormat="1" applyFont="1" applyFill="1" applyBorder="1" applyAlignment="1">
      <alignment horizontal="right"/>
    </xf>
    <xf numFmtId="2" fontId="1" fillId="0" borderId="0" xfId="0" applyNumberFormat="1" applyFont="1" applyFill="1" applyBorder="1" applyAlignment="1">
      <alignment horizontal="right" vertical="center"/>
    </xf>
    <xf numFmtId="0" fontId="4" fillId="0" borderId="0" xfId="0" applyFont="1" applyFill="1" applyAlignment="1">
      <alignment horizontal="left" wrapText="1"/>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0" xfId="14" applyFont="1" applyFill="1" applyAlignment="1">
      <alignment horizontal="center" vertical="top" wrapText="1"/>
    </xf>
    <xf numFmtId="0" fontId="9" fillId="0" borderId="0" xfId="14" applyFont="1" applyFill="1" applyAlignment="1">
      <alignment horizontal="center" shrinkToFit="1"/>
    </xf>
    <xf numFmtId="0" fontId="4" fillId="0" borderId="0" xfId="14" applyFont="1" applyFill="1" applyAlignment="1">
      <alignment horizontal="left" vertical="top" wrapText="1"/>
    </xf>
    <xf numFmtId="0" fontId="14" fillId="0" borderId="0" xfId="0" applyFont="1" applyFill="1" applyAlignment="1">
      <alignment horizontal="left"/>
    </xf>
    <xf numFmtId="0" fontId="14" fillId="0" borderId="0" xfId="0" applyFont="1" applyFill="1" applyAlignment="1">
      <alignment horizontal="center"/>
    </xf>
    <xf numFmtId="0" fontId="9" fillId="0" borderId="0" xfId="0" applyFont="1" applyFill="1" applyAlignment="1">
      <alignment horizontal="center" vertical="top" wrapText="1"/>
    </xf>
    <xf numFmtId="0" fontId="4" fillId="0" borderId="21" xfId="0" applyFont="1" applyFill="1" applyBorder="1" applyAlignment="1">
      <alignment horizontal="left" wrapText="1"/>
    </xf>
    <xf numFmtId="0" fontId="4" fillId="0" borderId="0" xfId="0" applyFont="1" applyFill="1" applyBorder="1" applyAlignment="1">
      <alignment horizontal="left"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 fillId="0" borderId="20" xfId="0" applyFont="1" applyFill="1" applyBorder="1" applyAlignment="1">
      <alignment horizontal="center"/>
    </xf>
    <xf numFmtId="0" fontId="1" fillId="0" borderId="23" xfId="0" applyFont="1" applyFill="1" applyBorder="1" applyAlignment="1">
      <alignment horizontal="center"/>
    </xf>
    <xf numFmtId="0" fontId="1" fillId="0" borderId="9" xfId="0" applyFont="1" applyFill="1" applyBorder="1" applyAlignment="1">
      <alignment horizont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xf>
    <xf numFmtId="0" fontId="1" fillId="0" borderId="8" xfId="0" applyFont="1" applyFill="1" applyBorder="1" applyAlignment="1">
      <alignment horizontal="center" vertical="top"/>
    </xf>
    <xf numFmtId="0" fontId="6" fillId="0" borderId="2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3" fillId="0" borderId="0" xfId="0" applyFont="1" applyFill="1" applyAlignment="1">
      <alignment horizontal="center" vertical="top" wrapText="1"/>
    </xf>
    <xf numFmtId="0" fontId="6" fillId="0" borderId="7" xfId="0" applyFont="1" applyFill="1" applyBorder="1" applyAlignment="1">
      <alignment horizontal="center" vertical="center" textRotation="90" wrapText="1"/>
    </xf>
    <xf numFmtId="0" fontId="6" fillId="0" borderId="4" xfId="0" applyFont="1" applyFill="1" applyBorder="1" applyAlignment="1">
      <alignment horizontal="center" vertical="center" textRotation="90" wrapText="1"/>
    </xf>
    <xf numFmtId="0" fontId="6" fillId="0" borderId="5" xfId="0" applyFont="1" applyFill="1" applyBorder="1" applyAlignment="1">
      <alignment horizontal="center" vertical="center" textRotation="90" wrapText="1"/>
    </xf>
    <xf numFmtId="0" fontId="6" fillId="0" borderId="8" xfId="0" applyFont="1" applyFill="1" applyBorder="1" applyAlignment="1">
      <alignment horizontal="center" vertical="center" textRotation="90"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6" fillId="0" borderId="0" xfId="0" applyFont="1" applyFill="1" applyBorder="1" applyAlignment="1">
      <alignment horizontal="center" vertical="top" wrapText="1"/>
    </xf>
    <xf numFmtId="1" fontId="59" fillId="0" borderId="0" xfId="11" applyNumberFormat="1" applyFont="1" applyFill="1" applyBorder="1" applyAlignment="1">
      <alignment horizontal="left" vertical="top" wrapText="1"/>
    </xf>
    <xf numFmtId="1" fontId="59" fillId="0" borderId="0" xfId="11" applyNumberFormat="1" applyFont="1" applyFill="1" applyBorder="1" applyAlignment="1">
      <alignment horizontal="justify" vertical="top" wrapText="1"/>
    </xf>
    <xf numFmtId="169" fontId="58" fillId="0" borderId="0" xfId="9" applyNumberFormat="1" applyFont="1" applyFill="1" applyBorder="1" applyAlignment="1">
      <alignment horizontal="center" vertical="center" wrapText="1"/>
    </xf>
    <xf numFmtId="0" fontId="1" fillId="0" borderId="11" xfId="0" applyFont="1" applyFill="1" applyBorder="1" applyAlignment="1">
      <alignment horizontal="right"/>
    </xf>
    <xf numFmtId="1" fontId="62" fillId="0" borderId="6" xfId="12" applyNumberFormat="1" applyFont="1" applyFill="1" applyBorder="1" applyAlignment="1">
      <alignment horizontal="center" vertical="center"/>
    </xf>
    <xf numFmtId="1" fontId="62" fillId="0" borderId="7" xfId="12" applyNumberFormat="1" applyFont="1" applyFill="1" applyBorder="1" applyAlignment="1">
      <alignment horizontal="center" vertical="center"/>
    </xf>
    <xf numFmtId="4" fontId="62" fillId="0" borderId="6" xfId="12" applyNumberFormat="1" applyFont="1" applyFill="1" applyBorder="1" applyAlignment="1">
      <alignment horizontal="center" vertical="center"/>
    </xf>
    <xf numFmtId="4" fontId="62" fillId="0" borderId="4" xfId="12" applyNumberFormat="1" applyFont="1" applyFill="1" applyBorder="1" applyAlignment="1">
      <alignment horizontal="center" vertical="center"/>
    </xf>
    <xf numFmtId="0" fontId="63" fillId="0" borderId="0" xfId="0" applyFont="1" applyFill="1" applyAlignment="1">
      <alignment horizontal="center" vertical="center" wrapText="1" readingOrder="1"/>
    </xf>
    <xf numFmtId="0" fontId="6" fillId="0" borderId="11" xfId="0" applyFont="1" applyFill="1" applyBorder="1" applyAlignment="1">
      <alignment horizontal="right"/>
    </xf>
    <xf numFmtId="0" fontId="6" fillId="0" borderId="19"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cellXfs>
  <cellStyles count="1216">
    <cellStyle name="Accent1 - 20%" xfId="1102"/>
    <cellStyle name="Accent1 - 40%" xfId="1103"/>
    <cellStyle name="Accent1 - 60%" xfId="1104"/>
    <cellStyle name="Accent2 - 20%" xfId="1105"/>
    <cellStyle name="Accent2 - 40%" xfId="1106"/>
    <cellStyle name="Accent2 - 60%" xfId="1107"/>
    <cellStyle name="Accent3 - 20%" xfId="1108"/>
    <cellStyle name="Accent3 - 40%" xfId="1109"/>
    <cellStyle name="Accent3 - 60%" xfId="1110"/>
    <cellStyle name="Accent4 - 20%" xfId="1111"/>
    <cellStyle name="Accent4 - 40%" xfId="1112"/>
    <cellStyle name="Accent4 - 60%" xfId="1113"/>
    <cellStyle name="Accent5 - 20%" xfId="1114"/>
    <cellStyle name="Accent5 - 40%" xfId="1115"/>
    <cellStyle name="Accent5 - 60%" xfId="1116"/>
    <cellStyle name="Accent6 - 20%" xfId="1117"/>
    <cellStyle name="Accent6 - 40%" xfId="1118"/>
    <cellStyle name="Accent6 - 60%" xfId="1119"/>
    <cellStyle name="C01_Main head" xfId="1120"/>
    <cellStyle name="C02_Column heads" xfId="1121"/>
    <cellStyle name="C03_Sub head bold" xfId="1122"/>
    <cellStyle name="C03a_Sub head" xfId="1123"/>
    <cellStyle name="C04_Total text white bold" xfId="1124"/>
    <cellStyle name="C04a_Total text black with rule" xfId="1125"/>
    <cellStyle name="C05_Main text" xfId="1126"/>
    <cellStyle name="C06_Figs" xfId="1127"/>
    <cellStyle name="C07_Figs 1 dec percent" xfId="1128"/>
    <cellStyle name="C08_Figs 1 decimal" xfId="1129"/>
    <cellStyle name="C09_Notes" xfId="1130"/>
    <cellStyle name="C10_Text subhead" xfId="1131"/>
    <cellStyle name="C11_Note head" xfId="1132"/>
    <cellStyle name="C12_Annotation" xfId="1133"/>
    <cellStyle name="C13_Annotation Superiors" xfId="1134"/>
    <cellStyle name="C14_Current year figs" xfId="1135"/>
    <cellStyle name="C14a_Current Year Figs 2 dec" xfId="1136"/>
    <cellStyle name="C14b_Current Year Figs 3 dec" xfId="1137"/>
    <cellStyle name="C14c_Current year %" xfId="1138"/>
    <cellStyle name="C14d_Current Year Figs 1 dec" xfId="1139"/>
    <cellStyle name="C14e_Current year (%)" xfId="1140"/>
    <cellStyle name="C15_Previous year figs" xfId="1141"/>
    <cellStyle name="C15a_Previous year figs 2 dec" xfId="1142"/>
    <cellStyle name="C15b_Prevoius Year Figs 3 dec" xfId="1143"/>
    <cellStyle name="C15c_Previous year %" xfId="1144"/>
    <cellStyle name="C15d_Previous Year Figs 1 dec" xfId="1145"/>
    <cellStyle name="C15e__Previous year (%)" xfId="1146"/>
    <cellStyle name="C16_Note_figs" xfId="1147"/>
    <cellStyle name="C17_Parent Current yr figs" xfId="1148"/>
    <cellStyle name="C18_Parent Previous yr figs" xfId="1149"/>
    <cellStyle name="C19_Regular figs" xfId="1150"/>
    <cellStyle name="C20_Note headings" xfId="1151"/>
    <cellStyle name="C21_Regular figs 1 dec" xfId="1152"/>
    <cellStyle name="C22_Running head" xfId="1153"/>
    <cellStyle name="C23_Folios" xfId="1154"/>
    <cellStyle name="colhead1" xfId="28"/>
    <cellStyle name="colhead2" xfId="29"/>
    <cellStyle name="Comma" xfId="1" builtinId="3"/>
    <cellStyle name="Comma 2" xfId="2"/>
    <cellStyle name="Comma 2 2" xfId="3"/>
    <cellStyle name="Comma 3" xfId="1155"/>
    <cellStyle name="Comma 3 2" xfId="1156"/>
    <cellStyle name="Comma 5" xfId="1157"/>
    <cellStyle name="data" xfId="30"/>
    <cellStyle name="double line" xfId="31"/>
    <cellStyle name="Emphasis 1" xfId="1158"/>
    <cellStyle name="Emphasis 2" xfId="1159"/>
    <cellStyle name="Emphasis 3" xfId="1160"/>
    <cellStyle name="footnote" xfId="32"/>
    <cellStyle name="G03_Text" xfId="1161"/>
    <cellStyle name="head" xfId="33"/>
    <cellStyle name="heading1" xfId="34"/>
    <cellStyle name="Hyperlink 2" xfId="35"/>
    <cellStyle name="Hyperlink 2 2" xfId="1162"/>
    <cellStyle name="Hyperlink 3" xfId="1095"/>
    <cellStyle name="line" xfId="36"/>
    <cellStyle name="Normal" xfId="0" builtinId="0"/>
    <cellStyle name="Normal 10" xfId="4"/>
    <cellStyle name="Normal 10 2" xfId="1164"/>
    <cellStyle name="Normal 10 2 2" xfId="5"/>
    <cellStyle name="Normal 10 3" xfId="1165"/>
    <cellStyle name="Normal 10 4" xfId="1163"/>
    <cellStyle name="Normal 101" xfId="1166"/>
    <cellStyle name="Normal 11" xfId="1167"/>
    <cellStyle name="Normal 11 2" xfId="37"/>
    <cellStyle name="Normal 11 2 2" xfId="1101"/>
    <cellStyle name="Normal 11 2 3" xfId="1168"/>
    <cellStyle name="Normal 11 3" xfId="1169"/>
    <cellStyle name="Normal 12" xfId="1170"/>
    <cellStyle name="Normal 13" xfId="1171"/>
    <cellStyle name="Normal 14" xfId="1172"/>
    <cellStyle name="Normal 15" xfId="1173"/>
    <cellStyle name="Normal 16" xfId="6"/>
    <cellStyle name="Normal 16 2" xfId="38"/>
    <cellStyle name="Normal 16 2 2" xfId="1098"/>
    <cellStyle name="Normal 16 3" xfId="1174"/>
    <cellStyle name="Normal 17" xfId="1175"/>
    <cellStyle name="Normal 18" xfId="1097"/>
    <cellStyle name="Normal 2" xfId="7"/>
    <cellStyle name="Normal 2 10" xfId="8"/>
    <cellStyle name="Normal 2 2" xfId="9"/>
    <cellStyle name="Normal 2 2 2" xfId="39"/>
    <cellStyle name="Normal 2 2 3" xfId="40"/>
    <cellStyle name="Normal 2 2 3 2" xfId="1176"/>
    <cellStyle name="Normal 2 3" xfId="21"/>
    <cellStyle name="Normal 2 3 2" xfId="41"/>
    <cellStyle name="Normal 2 3 2 2" xfId="1096"/>
    <cellStyle name="Normal 2 4" xfId="22"/>
    <cellStyle name="Normal 2 4 2" xfId="42"/>
    <cellStyle name="Normal 2 5" xfId="19"/>
    <cellStyle name="Normal 23 5" xfId="1177"/>
    <cellStyle name="Normal 3" xfId="10"/>
    <cellStyle name="Normal 3 2" xfId="11"/>
    <cellStyle name="Normal 3 2 2" xfId="43"/>
    <cellStyle name="Normal 3 2 3" xfId="44"/>
    <cellStyle name="Normal 3 3" xfId="23"/>
    <cellStyle name="Normal 3 3 2" xfId="1178"/>
    <cellStyle name="Normal 3 3 3" xfId="1179"/>
    <cellStyle name="Normal 3 3 3 2" xfId="1180"/>
    <cellStyle name="Normal 3 3 4" xfId="1099"/>
    <cellStyle name="Normal 3 4" xfId="24"/>
    <cellStyle name="Normal 33" xfId="1181"/>
    <cellStyle name="Normal 4" xfId="25"/>
    <cellStyle name="Normal 4 2" xfId="45"/>
    <cellStyle name="Normal 4 2 2" xfId="1182"/>
    <cellStyle name="Normal 4 3" xfId="46"/>
    <cellStyle name="Normal 4 4" xfId="47"/>
    <cellStyle name="Normal 42" xfId="1183"/>
    <cellStyle name="Normal 5" xfId="20"/>
    <cellStyle name="Normal 5 2" xfId="12"/>
    <cellStyle name="Normal 5 3" xfId="48"/>
    <cellStyle name="Normal 6" xfId="13"/>
    <cellStyle name="Normal 6 2" xfId="49"/>
    <cellStyle name="Normal 6 2 2" xfId="1184"/>
    <cellStyle name="Normal 7" xfId="26"/>
    <cellStyle name="Normal 7 2" xfId="1185"/>
    <cellStyle name="Normal 8" xfId="18"/>
    <cellStyle name="Normal 8 2" xfId="1187"/>
    <cellStyle name="Normal 8 3" xfId="1186"/>
    <cellStyle name="Normal 8 7" xfId="1188"/>
    <cellStyle name="Normal 83" xfId="1189"/>
    <cellStyle name="Normal 84" xfId="1190"/>
    <cellStyle name="Normal 85" xfId="1191"/>
    <cellStyle name="Normal 86" xfId="1192"/>
    <cellStyle name="Normal 87" xfId="1193"/>
    <cellStyle name="Normal 9" xfId="50"/>
    <cellStyle name="Normal 9 10" xfId="1195"/>
    <cellStyle name="Normal 9 2" xfId="1196"/>
    <cellStyle name="Normal 9 3" xfId="1194"/>
    <cellStyle name="Normal_2.2" xfId="1214"/>
    <cellStyle name="Normal_TABLE-3" xfId="17"/>
    <cellStyle name="Normal_XVII.1" xfId="14"/>
    <cellStyle name="Note 2" xfId="27"/>
    <cellStyle name="Note 2 2" xfId="51"/>
    <cellStyle name="numbertext" xfId="52"/>
    <cellStyle name="O01_Table text" xfId="1197"/>
    <cellStyle name="O02_Previous year figs" xfId="1198"/>
    <cellStyle name="Percent" xfId="1215" builtinId="5"/>
    <cellStyle name="Percent 2" xfId="1199"/>
    <cellStyle name="Percent 2 10" xfId="1200"/>
    <cellStyle name="Percent 3" xfId="1100"/>
    <cellStyle name="Percent 4" xfId="15"/>
    <cellStyle name="Percent 8" xfId="1201"/>
    <cellStyle name="Sheet Title" xfId="1202"/>
    <cellStyle name="Style 1" xfId="1203"/>
    <cellStyle name="style1405592466248" xfId="53"/>
    <cellStyle name="style1405592466311" xfId="54"/>
    <cellStyle name="style1405592466342" xfId="55"/>
    <cellStyle name="style1405592466373" xfId="56"/>
    <cellStyle name="style1405592466404" xfId="57"/>
    <cellStyle name="style1405592466451" xfId="58"/>
    <cellStyle name="style1405592466482" xfId="59"/>
    <cellStyle name="style1405592466513" xfId="60"/>
    <cellStyle name="style1405592466545" xfId="61"/>
    <cellStyle name="style1405592466607" xfId="62"/>
    <cellStyle name="style1405592466638" xfId="63"/>
    <cellStyle name="style1405592466669" xfId="64"/>
    <cellStyle name="style1405592466701" xfId="65"/>
    <cellStyle name="style1405592466716" xfId="66"/>
    <cellStyle name="style1405592466747" xfId="67"/>
    <cellStyle name="style1405592466779" xfId="68"/>
    <cellStyle name="style1405592466810" xfId="69"/>
    <cellStyle name="style1405592466841" xfId="70"/>
    <cellStyle name="style1405592466872" xfId="71"/>
    <cellStyle name="style1405592466903" xfId="72"/>
    <cellStyle name="style1405592466935" xfId="73"/>
    <cellStyle name="style1405592466950" xfId="74"/>
    <cellStyle name="style1405592466981" xfId="75"/>
    <cellStyle name="style1405592467028" xfId="76"/>
    <cellStyle name="style1405592467059" xfId="77"/>
    <cellStyle name="style1405592467075" xfId="78"/>
    <cellStyle name="style1405592467106" xfId="79"/>
    <cellStyle name="style1405592467122" xfId="80"/>
    <cellStyle name="style1405592467153" xfId="81"/>
    <cellStyle name="style1405592467169" xfId="82"/>
    <cellStyle name="style1405592467200" xfId="83"/>
    <cellStyle name="style1405592467231" xfId="84"/>
    <cellStyle name="style1405592467247" xfId="85"/>
    <cellStyle name="style1405592467278" xfId="86"/>
    <cellStyle name="style1405592467309" xfId="87"/>
    <cellStyle name="style1405592467325" xfId="88"/>
    <cellStyle name="style1405592467356" xfId="89"/>
    <cellStyle name="style1405592467371" xfId="90"/>
    <cellStyle name="style1405592467434" xfId="91"/>
    <cellStyle name="style1405592467449" xfId="92"/>
    <cellStyle name="style1405592467496" xfId="93"/>
    <cellStyle name="style1405592467527" xfId="94"/>
    <cellStyle name="style1405592467559" xfId="95"/>
    <cellStyle name="style1405592467574" xfId="96"/>
    <cellStyle name="style1405592467605" xfId="97"/>
    <cellStyle name="style1405592467637" xfId="98"/>
    <cellStyle name="style1405592467652" xfId="99"/>
    <cellStyle name="style1405592467683" xfId="100"/>
    <cellStyle name="style1405592467715" xfId="101"/>
    <cellStyle name="style1405592467730" xfId="102"/>
    <cellStyle name="style1405592467746" xfId="103"/>
    <cellStyle name="style1405592467777" xfId="104"/>
    <cellStyle name="style1405592467808" xfId="105"/>
    <cellStyle name="style1405592467839" xfId="106"/>
    <cellStyle name="style1405592467855" xfId="107"/>
    <cellStyle name="style1405592467886" xfId="108"/>
    <cellStyle name="style1405592467902" xfId="109"/>
    <cellStyle name="style1405592467933" xfId="110"/>
    <cellStyle name="style1405592467949" xfId="111"/>
    <cellStyle name="style1405592468011" xfId="112"/>
    <cellStyle name="style1405592468027" xfId="113"/>
    <cellStyle name="style1405592468058" xfId="114"/>
    <cellStyle name="style1405592468073" xfId="115"/>
    <cellStyle name="style1405592468105" xfId="116"/>
    <cellStyle name="style1405592468120" xfId="117"/>
    <cellStyle name="style1405592468136" xfId="118"/>
    <cellStyle name="style1405592468167" xfId="119"/>
    <cellStyle name="style1405592468307" xfId="120"/>
    <cellStyle name="style1405592468354" xfId="121"/>
    <cellStyle name="style1405593751810" xfId="122"/>
    <cellStyle name="style1405593751840" xfId="123"/>
    <cellStyle name="style1405593751866" xfId="124"/>
    <cellStyle name="style1405593751887" xfId="125"/>
    <cellStyle name="style1405593751916" xfId="126"/>
    <cellStyle name="style1405593751942" xfId="127"/>
    <cellStyle name="style1405593751969" xfId="128"/>
    <cellStyle name="style1405593751994" xfId="129"/>
    <cellStyle name="style1405593752020" xfId="130"/>
    <cellStyle name="style1405593752044" xfId="131"/>
    <cellStyle name="style1405593752069" xfId="132"/>
    <cellStyle name="style1405593752093" xfId="133"/>
    <cellStyle name="style1405593752113" xfId="134"/>
    <cellStyle name="style1405593752133" xfId="135"/>
    <cellStyle name="style1405593752156" xfId="136"/>
    <cellStyle name="style1405593752219" xfId="137"/>
    <cellStyle name="style1405593752245" xfId="138"/>
    <cellStyle name="style1405593752269" xfId="139"/>
    <cellStyle name="style1405593752295" xfId="140"/>
    <cellStyle name="style1405593752320" xfId="141"/>
    <cellStyle name="style1405593752340" xfId="142"/>
    <cellStyle name="style1405593752361" xfId="143"/>
    <cellStyle name="style1405593752381" xfId="144"/>
    <cellStyle name="style1405593752401" xfId="145"/>
    <cellStyle name="style1405593752420" xfId="146"/>
    <cellStyle name="style1405593752440" xfId="147"/>
    <cellStyle name="style1405593752461" xfId="148"/>
    <cellStyle name="style1405593752481" xfId="149"/>
    <cellStyle name="style1405593752505" xfId="150"/>
    <cellStyle name="style1405593752539" xfId="151"/>
    <cellStyle name="style1405593752569" xfId="152"/>
    <cellStyle name="style1405593752650" xfId="153"/>
    <cellStyle name="style1405593752674" xfId="154"/>
    <cellStyle name="style1405593752700" xfId="155"/>
    <cellStyle name="style1405593752726" xfId="156"/>
    <cellStyle name="style1405593752745" xfId="157"/>
    <cellStyle name="style1405593752763" xfId="158"/>
    <cellStyle name="style1405593752782" xfId="159"/>
    <cellStyle name="style1405593752804" xfId="160"/>
    <cellStyle name="style1405593752829" xfId="161"/>
    <cellStyle name="style1405593752855" xfId="162"/>
    <cellStyle name="style1405593752876" xfId="163"/>
    <cellStyle name="style1405593752900" xfId="164"/>
    <cellStyle name="style1405593752927" xfId="165"/>
    <cellStyle name="style1405593752946" xfId="166"/>
    <cellStyle name="style1405593752972" xfId="167"/>
    <cellStyle name="style1405593752997" xfId="168"/>
    <cellStyle name="style1405593753062" xfId="169"/>
    <cellStyle name="style1405593753080" xfId="170"/>
    <cellStyle name="style1405593753099" xfId="171"/>
    <cellStyle name="style1405593753121" xfId="172"/>
    <cellStyle name="style1405593753146" xfId="173"/>
    <cellStyle name="style1405593753170" xfId="174"/>
    <cellStyle name="style1405593753189" xfId="175"/>
    <cellStyle name="style1405593753214" xfId="176"/>
    <cellStyle name="style1405593753233" xfId="177"/>
    <cellStyle name="style1405593753252" xfId="178"/>
    <cellStyle name="style1405593753271" xfId="179"/>
    <cellStyle name="style1405593753293" xfId="180"/>
    <cellStyle name="style1405593753312" xfId="181"/>
    <cellStyle name="style1405593753330" xfId="182"/>
    <cellStyle name="style1405593753349" xfId="183"/>
    <cellStyle name="style1405593753369" xfId="184"/>
    <cellStyle name="style1405593753388" xfId="185"/>
    <cellStyle name="style1405593753407" xfId="186"/>
    <cellStyle name="style1405593753428" xfId="187"/>
    <cellStyle name="style1405593753583" xfId="188"/>
    <cellStyle name="style1405593753611" xfId="189"/>
    <cellStyle name="style1405593955548" xfId="190"/>
    <cellStyle name="style1405593955730" xfId="191"/>
    <cellStyle name="style1405593955822" xfId="192"/>
    <cellStyle name="style1405593955932" xfId="193"/>
    <cellStyle name="style1405593956160" xfId="194"/>
    <cellStyle name="style1405593956198" xfId="195"/>
    <cellStyle name="style1405593956253" xfId="196"/>
    <cellStyle name="style1405593956383" xfId="197"/>
    <cellStyle name="style1405594020147" xfId="198"/>
    <cellStyle name="style1405594020195" xfId="199"/>
    <cellStyle name="style1405594020240" xfId="200"/>
    <cellStyle name="style1405594020827" xfId="201"/>
    <cellStyle name="style1405594020984" xfId="202"/>
    <cellStyle name="style1405594021124" xfId="203"/>
    <cellStyle name="style1405594021251" xfId="204"/>
    <cellStyle name="style1405594021435" xfId="205"/>
    <cellStyle name="style1405594021470" xfId="206"/>
    <cellStyle name="style1405594021524" xfId="207"/>
    <cellStyle name="style1405594021704" xfId="208"/>
    <cellStyle name="style1406113848636" xfId="209"/>
    <cellStyle name="style1406113848741" xfId="210"/>
    <cellStyle name="style1406113848796" xfId="211"/>
    <cellStyle name="style1406113848827" xfId="212"/>
    <cellStyle name="style1406113848859" xfId="213"/>
    <cellStyle name="style1406113848891" xfId="214"/>
    <cellStyle name="style1406113848925" xfId="215"/>
    <cellStyle name="style1406113848965" xfId="216"/>
    <cellStyle name="style1406113848998" xfId="217"/>
    <cellStyle name="style1406113849028" xfId="218"/>
    <cellStyle name="style1406113849058" xfId="219"/>
    <cellStyle name="style1406113849090" xfId="220"/>
    <cellStyle name="style1406113849117" xfId="221"/>
    <cellStyle name="style1406113849144" xfId="222"/>
    <cellStyle name="style1406113849183" xfId="223"/>
    <cellStyle name="style1406113849217" xfId="224"/>
    <cellStyle name="style1406113849255" xfId="225"/>
    <cellStyle name="style1406113849284" xfId="226"/>
    <cellStyle name="style1406113849311" xfId="227"/>
    <cellStyle name="style1406113849339" xfId="228"/>
    <cellStyle name="style1406113849367" xfId="229"/>
    <cellStyle name="style1406113849389" xfId="230"/>
    <cellStyle name="style1406113849413" xfId="231"/>
    <cellStyle name="style1406113849558" xfId="232"/>
    <cellStyle name="style1406113849582" xfId="233"/>
    <cellStyle name="style1406113849605" xfId="234"/>
    <cellStyle name="style1406113849630" xfId="235"/>
    <cellStyle name="style1406113849653" xfId="236"/>
    <cellStyle name="style1406113849674" xfId="237"/>
    <cellStyle name="style1406113849701" xfId="238"/>
    <cellStyle name="style1406113849728" xfId="239"/>
    <cellStyle name="style1406113849754" xfId="240"/>
    <cellStyle name="style1406113849781" xfId="241"/>
    <cellStyle name="style1406113849808" xfId="242"/>
    <cellStyle name="style1406113849835" xfId="243"/>
    <cellStyle name="style1406113849856" xfId="244"/>
    <cellStyle name="style1406113849876" xfId="245"/>
    <cellStyle name="style1406113849898" xfId="246"/>
    <cellStyle name="style1406113849921" xfId="247"/>
    <cellStyle name="style1406113849947" xfId="248"/>
    <cellStyle name="style1406113849975" xfId="249"/>
    <cellStyle name="style1406113850004" xfId="250"/>
    <cellStyle name="style1406113850027" xfId="251"/>
    <cellStyle name="style1406113850054" xfId="252"/>
    <cellStyle name="style1406113850081" xfId="253"/>
    <cellStyle name="style1406113850103" xfId="254"/>
    <cellStyle name="style1406113850129" xfId="255"/>
    <cellStyle name="style1406113850156" xfId="256"/>
    <cellStyle name="style1406113850182" xfId="257"/>
    <cellStyle name="style1406113850203" xfId="258"/>
    <cellStyle name="style1406113850224" xfId="259"/>
    <cellStyle name="style1406113850258" xfId="260"/>
    <cellStyle name="style1406113850331" xfId="261"/>
    <cellStyle name="style1406113850358" xfId="262"/>
    <cellStyle name="style1406113850380" xfId="263"/>
    <cellStyle name="style1406113850409" xfId="264"/>
    <cellStyle name="style1406113850431" xfId="265"/>
    <cellStyle name="style1406113850452" xfId="266"/>
    <cellStyle name="style1406113850474" xfId="267"/>
    <cellStyle name="style1406113850501" xfId="268"/>
    <cellStyle name="style1406113850522" xfId="269"/>
    <cellStyle name="style1406113850542" xfId="270"/>
    <cellStyle name="style1406113850570" xfId="271"/>
    <cellStyle name="style1406113850591" xfId="272"/>
    <cellStyle name="style1406113850614" xfId="273"/>
    <cellStyle name="style1406113850636" xfId="274"/>
    <cellStyle name="style1406113850655" xfId="275"/>
    <cellStyle name="style1406113850674" xfId="276"/>
    <cellStyle name="style1406113850723" xfId="277"/>
    <cellStyle name="style1406113850767" xfId="278"/>
    <cellStyle name="style1406113850816" xfId="279"/>
    <cellStyle name="style1406114189185" xfId="280"/>
    <cellStyle name="style1406114189213" xfId="281"/>
    <cellStyle name="style1406114189239" xfId="282"/>
    <cellStyle name="style1406114189259" xfId="283"/>
    <cellStyle name="style1406114189283" xfId="284"/>
    <cellStyle name="style1406114189307" xfId="285"/>
    <cellStyle name="style1406114189331" xfId="286"/>
    <cellStyle name="style1406114189356" xfId="287"/>
    <cellStyle name="style1406114189382" xfId="288"/>
    <cellStyle name="style1406114189407" xfId="289"/>
    <cellStyle name="style1406114189432" xfId="290"/>
    <cellStyle name="style1406114189459" xfId="291"/>
    <cellStyle name="style1406114189481" xfId="292"/>
    <cellStyle name="style1406114189505" xfId="293"/>
    <cellStyle name="style1406114189535" xfId="294"/>
    <cellStyle name="style1406114189560" xfId="295"/>
    <cellStyle name="style1406114189585" xfId="296"/>
    <cellStyle name="style1406114189616" xfId="297"/>
    <cellStyle name="style1406114189644" xfId="298"/>
    <cellStyle name="style1406114189671" xfId="299"/>
    <cellStyle name="style1406114189696" xfId="300"/>
    <cellStyle name="style1406114189716" xfId="301"/>
    <cellStyle name="style1406114189736" xfId="302"/>
    <cellStyle name="style1406114189757" xfId="303"/>
    <cellStyle name="style1406114189778" xfId="304"/>
    <cellStyle name="style1406114189799" xfId="305"/>
    <cellStyle name="style1406114189820" xfId="306"/>
    <cellStyle name="style1406114189840" xfId="307"/>
    <cellStyle name="style1406114189860" xfId="308"/>
    <cellStyle name="style1406114189886" xfId="309"/>
    <cellStyle name="style1406114189911" xfId="310"/>
    <cellStyle name="style1406114189990" xfId="311"/>
    <cellStyle name="style1406114190017" xfId="312"/>
    <cellStyle name="style1406114190044" xfId="313"/>
    <cellStyle name="style1406114190069" xfId="314"/>
    <cellStyle name="style1406114190088" xfId="315"/>
    <cellStyle name="style1406114190108" xfId="316"/>
    <cellStyle name="style1406114190127" xfId="317"/>
    <cellStyle name="style1406114190148" xfId="318"/>
    <cellStyle name="style1406114190171" xfId="319"/>
    <cellStyle name="style1406114190195" xfId="320"/>
    <cellStyle name="style1406114190219" xfId="321"/>
    <cellStyle name="style1406114190238" xfId="322"/>
    <cellStyle name="style1406114190262" xfId="323"/>
    <cellStyle name="style1406114190285" xfId="324"/>
    <cellStyle name="style1406114190303" xfId="325"/>
    <cellStyle name="style1406114190327" xfId="326"/>
    <cellStyle name="style1406114190351" xfId="327"/>
    <cellStyle name="style1406114190375" xfId="328"/>
    <cellStyle name="style1406114190395" xfId="329"/>
    <cellStyle name="style1406114190415" xfId="330"/>
    <cellStyle name="style1406114190439" xfId="331"/>
    <cellStyle name="style1406114190464" xfId="332"/>
    <cellStyle name="style1406114190487" xfId="333"/>
    <cellStyle name="style1406114190507" xfId="334"/>
    <cellStyle name="style1406114190534" xfId="335"/>
    <cellStyle name="style1406114190553" xfId="336"/>
    <cellStyle name="style1406114190571" xfId="337"/>
    <cellStyle name="style1406114190588" xfId="338"/>
    <cellStyle name="style1406114190609" xfId="339"/>
    <cellStyle name="style1406114190628" xfId="340"/>
    <cellStyle name="style1406114190647" xfId="341"/>
    <cellStyle name="style1406114190666" xfId="342"/>
    <cellStyle name="style1406114190687" xfId="343"/>
    <cellStyle name="style1406114190844" xfId="344"/>
    <cellStyle name="style1406114190863" xfId="345"/>
    <cellStyle name="style1406114190881" xfId="346"/>
    <cellStyle name="style1406114190900" xfId="347"/>
    <cellStyle name="style1406114190959" xfId="348"/>
    <cellStyle name="style1406114191014" xfId="349"/>
    <cellStyle name="style1406114191303" xfId="350"/>
    <cellStyle name="style1406114191912" xfId="351"/>
    <cellStyle name="style1406114345186" xfId="352"/>
    <cellStyle name="style1406114345361" xfId="353"/>
    <cellStyle name="style1406114398523" xfId="354"/>
    <cellStyle name="style1406114398549" xfId="355"/>
    <cellStyle name="style1406114398571" xfId="356"/>
    <cellStyle name="style1406114398589" xfId="357"/>
    <cellStyle name="style1406114398610" xfId="358"/>
    <cellStyle name="style1406114398632" xfId="359"/>
    <cellStyle name="style1406114398654" xfId="360"/>
    <cellStyle name="style1406114398679" xfId="361"/>
    <cellStyle name="style1406114398703" xfId="362"/>
    <cellStyle name="style1406114398726" xfId="363"/>
    <cellStyle name="style1406114398750" xfId="364"/>
    <cellStyle name="style1406114398774" xfId="365"/>
    <cellStyle name="style1406114398792" xfId="366"/>
    <cellStyle name="style1406114398812" xfId="367"/>
    <cellStyle name="style1406114398835" xfId="368"/>
    <cellStyle name="style1406114398855" xfId="369"/>
    <cellStyle name="style1406114398880" xfId="370"/>
    <cellStyle name="style1406114398898" xfId="371"/>
    <cellStyle name="style1406114398922" xfId="372"/>
    <cellStyle name="style1406114398946" xfId="373"/>
    <cellStyle name="style1406114398972" xfId="374"/>
    <cellStyle name="style1406114398991" xfId="375"/>
    <cellStyle name="style1406114399009" xfId="376"/>
    <cellStyle name="style1406114399027" xfId="377"/>
    <cellStyle name="style1406114399044" xfId="378"/>
    <cellStyle name="style1406114399064" xfId="379"/>
    <cellStyle name="style1406114399083" xfId="380"/>
    <cellStyle name="style1406114399102" xfId="381"/>
    <cellStyle name="style1406114399120" xfId="382"/>
    <cellStyle name="style1406114399144" xfId="383"/>
    <cellStyle name="style1406114399167" xfId="384"/>
    <cellStyle name="style1406114399199" xfId="385"/>
    <cellStyle name="style1406114399226" xfId="386"/>
    <cellStyle name="style1406114399254" xfId="387"/>
    <cellStyle name="style1406114399277" xfId="388"/>
    <cellStyle name="style1406114399294" xfId="389"/>
    <cellStyle name="style1406114399311" xfId="390"/>
    <cellStyle name="style1406114399329" xfId="391"/>
    <cellStyle name="style1406114399348" xfId="392"/>
    <cellStyle name="style1406114399367" xfId="393"/>
    <cellStyle name="style1406114399389" xfId="394"/>
    <cellStyle name="style1406114399411" xfId="395"/>
    <cellStyle name="style1406114399490" xfId="396"/>
    <cellStyle name="style1406114399512" xfId="397"/>
    <cellStyle name="style1406114399534" xfId="398"/>
    <cellStyle name="style1406114399551" xfId="399"/>
    <cellStyle name="style1406114399576" xfId="400"/>
    <cellStyle name="style1406114399599" xfId="401"/>
    <cellStyle name="style1406114399622" xfId="402"/>
    <cellStyle name="style1406114399641" xfId="403"/>
    <cellStyle name="style1406114399662" xfId="404"/>
    <cellStyle name="style1406114399689" xfId="405"/>
    <cellStyle name="style1406114399716" xfId="406"/>
    <cellStyle name="style1406114399740" xfId="407"/>
    <cellStyle name="style1406114399758" xfId="408"/>
    <cellStyle name="style1406114399783" xfId="409"/>
    <cellStyle name="style1406114399802" xfId="410"/>
    <cellStyle name="style1406114399820" xfId="411"/>
    <cellStyle name="style1406114399839" xfId="412"/>
    <cellStyle name="style1406114399860" xfId="413"/>
    <cellStyle name="style1406114399878" xfId="414"/>
    <cellStyle name="style1406114399896" xfId="415"/>
    <cellStyle name="style1406114399914" xfId="416"/>
    <cellStyle name="style1406114399932" xfId="417"/>
    <cellStyle name="style1406114399951" xfId="418"/>
    <cellStyle name="style1406114399969" xfId="419"/>
    <cellStyle name="style1406114399987" xfId="420"/>
    <cellStyle name="style1406114400018" xfId="421"/>
    <cellStyle name="style1406114400104" xfId="422"/>
    <cellStyle name="style1406114400339" xfId="423"/>
    <cellStyle name="style1406114400806" xfId="424"/>
    <cellStyle name="style1406114440149" xfId="425"/>
    <cellStyle name="style1406114440175" xfId="426"/>
    <cellStyle name="style1406114440200" xfId="427"/>
    <cellStyle name="style1406114440219" xfId="428"/>
    <cellStyle name="style1406114440242" xfId="429"/>
    <cellStyle name="style1406114440265" xfId="430"/>
    <cellStyle name="style1406114440288" xfId="431"/>
    <cellStyle name="style1406114440311" xfId="432"/>
    <cellStyle name="style1406114440332" xfId="433"/>
    <cellStyle name="style1406114440354" xfId="434"/>
    <cellStyle name="style1406114440375" xfId="435"/>
    <cellStyle name="style1406114440396" xfId="436"/>
    <cellStyle name="style1406114440413" xfId="437"/>
    <cellStyle name="style1406114440430" xfId="438"/>
    <cellStyle name="style1406114440452" xfId="439"/>
    <cellStyle name="style1406114440470" xfId="440"/>
    <cellStyle name="style1406114440492" xfId="441"/>
    <cellStyle name="style1406114440509" xfId="442"/>
    <cellStyle name="style1406114440531" xfId="443"/>
    <cellStyle name="style1406114440552" xfId="444"/>
    <cellStyle name="style1406114440573" xfId="445"/>
    <cellStyle name="style1406114440590" xfId="446"/>
    <cellStyle name="style1406114440607" xfId="447"/>
    <cellStyle name="style1406114440624" xfId="448"/>
    <cellStyle name="style1406114440641" xfId="449"/>
    <cellStyle name="style1406114440657" xfId="450"/>
    <cellStyle name="style1406114440676" xfId="451"/>
    <cellStyle name="style1406114440693" xfId="452"/>
    <cellStyle name="style1406114440711" xfId="453"/>
    <cellStyle name="style1406114440733" xfId="454"/>
    <cellStyle name="style1406114440756" xfId="455"/>
    <cellStyle name="style1406114440778" xfId="456"/>
    <cellStyle name="style1406114440801" xfId="457"/>
    <cellStyle name="style1406114440831" xfId="458"/>
    <cellStyle name="style1406114440854" xfId="459"/>
    <cellStyle name="style1406114440871" xfId="460"/>
    <cellStyle name="style1406114440888" xfId="461"/>
    <cellStyle name="style1406114440905" xfId="462"/>
    <cellStyle name="style1406114440922" xfId="463"/>
    <cellStyle name="style1406114440941" xfId="464"/>
    <cellStyle name="style1406114440964" xfId="465"/>
    <cellStyle name="style1406114440986" xfId="466"/>
    <cellStyle name="style1406114441003" xfId="467"/>
    <cellStyle name="style1406114441024" xfId="468"/>
    <cellStyle name="style1406114441046" xfId="469"/>
    <cellStyle name="style1406114441063" xfId="470"/>
    <cellStyle name="style1406114441085" xfId="471"/>
    <cellStyle name="style1406114441106" xfId="472"/>
    <cellStyle name="style1406114441127" xfId="473"/>
    <cellStyle name="style1406114441144" xfId="474"/>
    <cellStyle name="style1406114441245" xfId="475"/>
    <cellStyle name="style1406114441267" xfId="476"/>
    <cellStyle name="style1406114441288" xfId="477"/>
    <cellStyle name="style1406114441309" xfId="478"/>
    <cellStyle name="style1406114441326" xfId="479"/>
    <cellStyle name="style1406114441350" xfId="480"/>
    <cellStyle name="style1406114441369" xfId="481"/>
    <cellStyle name="style1406114441387" xfId="482"/>
    <cellStyle name="style1406114441405" xfId="483"/>
    <cellStyle name="style1406114441425" xfId="484"/>
    <cellStyle name="style1406114441444" xfId="485"/>
    <cellStyle name="style1406114441462" xfId="486"/>
    <cellStyle name="style1406114441479" xfId="487"/>
    <cellStyle name="style1406114441496" xfId="488"/>
    <cellStyle name="style1406114441514" xfId="489"/>
    <cellStyle name="style1406114441532" xfId="490"/>
    <cellStyle name="style1406114441549" xfId="491"/>
    <cellStyle name="style1406114441566" xfId="492"/>
    <cellStyle name="style1406114441594" xfId="493"/>
    <cellStyle name="style1406114441626" xfId="494"/>
    <cellStyle name="style1406114442197" xfId="495"/>
    <cellStyle name="style1406114490232" xfId="496"/>
    <cellStyle name="style1406114490278" xfId="497"/>
    <cellStyle name="style1406114490860" xfId="498"/>
    <cellStyle name="style1406114491098" xfId="499"/>
    <cellStyle name="style1406114491204" xfId="500"/>
    <cellStyle name="style1406114491528" xfId="501"/>
    <cellStyle name="style1406114491549" xfId="502"/>
    <cellStyle name="style1406114491606" xfId="503"/>
    <cellStyle name="style1406114491677" xfId="504"/>
    <cellStyle name="style1406182998088" xfId="505"/>
    <cellStyle name="style1406182998186" xfId="506"/>
    <cellStyle name="style1406183036983" xfId="507"/>
    <cellStyle name="style1409810494475" xfId="508"/>
    <cellStyle name="style1409810494591" xfId="509"/>
    <cellStyle name="style1409810494633" xfId="510"/>
    <cellStyle name="style1409810494661" xfId="511"/>
    <cellStyle name="style1409810494696" xfId="512"/>
    <cellStyle name="style1409810494729" xfId="513"/>
    <cellStyle name="style1409810494762" xfId="514"/>
    <cellStyle name="style1409810494801" xfId="515"/>
    <cellStyle name="style1409810494834" xfId="516"/>
    <cellStyle name="style1409810494865" xfId="517"/>
    <cellStyle name="style1409810494897" xfId="518"/>
    <cellStyle name="style1409810494930" xfId="519"/>
    <cellStyle name="style1409810494957" xfId="520"/>
    <cellStyle name="style1409810494983" xfId="521"/>
    <cellStyle name="style1409810495021" xfId="522"/>
    <cellStyle name="style1409810495134" xfId="523"/>
    <cellStyle name="style1409810495184" xfId="524"/>
    <cellStyle name="style1409810495215" xfId="525"/>
    <cellStyle name="style1409810495245" xfId="526"/>
    <cellStyle name="style1409810495274" xfId="527"/>
    <cellStyle name="style1409810495302" xfId="528"/>
    <cellStyle name="style1409810495331" xfId="529"/>
    <cellStyle name="style1409810495361" xfId="530"/>
    <cellStyle name="style1409810495386" xfId="531"/>
    <cellStyle name="style1409810495409" xfId="532"/>
    <cellStyle name="style1409810495433" xfId="533"/>
    <cellStyle name="style1409810495465" xfId="534"/>
    <cellStyle name="style1409810495489" xfId="535"/>
    <cellStyle name="style1409810495510" xfId="536"/>
    <cellStyle name="style1409810495537" xfId="537"/>
    <cellStyle name="style1409810495565" xfId="538"/>
    <cellStyle name="style1409810495592" xfId="539"/>
    <cellStyle name="style1409810495620" xfId="540"/>
    <cellStyle name="style1409810495648" xfId="541"/>
    <cellStyle name="style1409810495676" xfId="542"/>
    <cellStyle name="style1409810495698" xfId="543"/>
    <cellStyle name="style1409810495777" xfId="544"/>
    <cellStyle name="style1409810495805" xfId="545"/>
    <cellStyle name="style1409810495828" xfId="546"/>
    <cellStyle name="style1409810495856" xfId="547"/>
    <cellStyle name="style1409810495884" xfId="548"/>
    <cellStyle name="style1409810495914" xfId="549"/>
    <cellStyle name="style1409810495937" xfId="550"/>
    <cellStyle name="style1409810495965" xfId="551"/>
    <cellStyle name="style1409810495993" xfId="552"/>
    <cellStyle name="style1409810496015" xfId="553"/>
    <cellStyle name="style1409810496042" xfId="554"/>
    <cellStyle name="style1409810496069" xfId="555"/>
    <cellStyle name="style1409810496096" xfId="556"/>
    <cellStyle name="style1409810496117" xfId="557"/>
    <cellStyle name="style1409810496139" xfId="558"/>
    <cellStyle name="style1409810496166" xfId="559"/>
    <cellStyle name="style1409810496193" xfId="560"/>
    <cellStyle name="style1409810496219" xfId="561"/>
    <cellStyle name="style1409810496241" xfId="562"/>
    <cellStyle name="style1409810496272" xfId="563"/>
    <cellStyle name="style1409810496293" xfId="564"/>
    <cellStyle name="style1409810496359" xfId="565"/>
    <cellStyle name="style1409810496380" xfId="566"/>
    <cellStyle name="style1409810496405" xfId="567"/>
    <cellStyle name="style1409810496426" xfId="568"/>
    <cellStyle name="style1409810496447" xfId="569"/>
    <cellStyle name="style1409810496468" xfId="570"/>
    <cellStyle name="style1409810496490" xfId="571"/>
    <cellStyle name="style1409810496515" xfId="572"/>
    <cellStyle name="style1409810496535" xfId="573"/>
    <cellStyle name="style1409810496554" xfId="574"/>
    <cellStyle name="style1409810496601" xfId="575"/>
    <cellStyle name="style1409810496625" xfId="576"/>
    <cellStyle name="style1409810496668" xfId="577"/>
    <cellStyle name="style1409810496930" xfId="578"/>
    <cellStyle name="style1409810497634" xfId="579"/>
    <cellStyle name="style1409810497655" xfId="580"/>
    <cellStyle name="style1409810497674" xfId="581"/>
    <cellStyle name="style1409810497717" xfId="582"/>
    <cellStyle name="style1409811450489" xfId="583"/>
    <cellStyle name="style1409811450518" xfId="584"/>
    <cellStyle name="style1409811450548" xfId="585"/>
    <cellStyle name="style1409811450569" xfId="586"/>
    <cellStyle name="style1409811450596" xfId="587"/>
    <cellStyle name="style1409811450621" xfId="588"/>
    <cellStyle name="style1409811450646" xfId="589"/>
    <cellStyle name="style1409811450671" xfId="590"/>
    <cellStyle name="style1409811450697" xfId="591"/>
    <cellStyle name="style1409811450722" xfId="592"/>
    <cellStyle name="style1409811450746" xfId="593"/>
    <cellStyle name="style1409811450772" xfId="594"/>
    <cellStyle name="style1409811450796" xfId="595"/>
    <cellStyle name="style1409811450817" xfId="596"/>
    <cellStyle name="style1409811450847" xfId="597"/>
    <cellStyle name="style1409811450867" xfId="598"/>
    <cellStyle name="style1409811450889" xfId="599"/>
    <cellStyle name="style1409811450914" xfId="600"/>
    <cellStyle name="style1409811450938" xfId="601"/>
    <cellStyle name="style1409811450962" xfId="602"/>
    <cellStyle name="style1409811450987" xfId="603"/>
    <cellStyle name="style1409811451006" xfId="604"/>
    <cellStyle name="style1409811451024" xfId="605"/>
    <cellStyle name="style1409811451043" xfId="606"/>
    <cellStyle name="style1409811451060" xfId="607"/>
    <cellStyle name="style1409811451078" xfId="608"/>
    <cellStyle name="style1409811451096" xfId="609"/>
    <cellStyle name="style1409811451114" xfId="610"/>
    <cellStyle name="style1409811451132" xfId="611"/>
    <cellStyle name="style1409811451155" xfId="612"/>
    <cellStyle name="style1409811451178" xfId="613"/>
    <cellStyle name="style1409811451201" xfId="614"/>
    <cellStyle name="style1409811451226" xfId="615"/>
    <cellStyle name="style1409811451249" xfId="616"/>
    <cellStyle name="style1409811451272" xfId="617"/>
    <cellStyle name="style1409811451290" xfId="618"/>
    <cellStyle name="style1409811451309" xfId="619"/>
    <cellStyle name="style1409811451327" xfId="620"/>
    <cellStyle name="style1409811451345" xfId="621"/>
    <cellStyle name="style1409811451364" xfId="622"/>
    <cellStyle name="style1409811451386" xfId="623"/>
    <cellStyle name="style1409811451410" xfId="624"/>
    <cellStyle name="style1409811451428" xfId="625"/>
    <cellStyle name="style1409811451451" xfId="626"/>
    <cellStyle name="style1409811451475" xfId="627"/>
    <cellStyle name="style1409811451493" xfId="628"/>
    <cellStyle name="style1409811451517" xfId="629"/>
    <cellStyle name="style1409811451539" xfId="630"/>
    <cellStyle name="style1409811451561" xfId="631"/>
    <cellStyle name="style1409811451580" xfId="632"/>
    <cellStyle name="style1409811451670" xfId="633"/>
    <cellStyle name="style1409811451694" xfId="634"/>
    <cellStyle name="style1409811451718" xfId="635"/>
    <cellStyle name="style1409811451741" xfId="636"/>
    <cellStyle name="style1409811451759" xfId="637"/>
    <cellStyle name="style1409811451783" xfId="638"/>
    <cellStyle name="style1409811451800" xfId="639"/>
    <cellStyle name="style1409811451818" xfId="640"/>
    <cellStyle name="style1409811451835" xfId="641"/>
    <cellStyle name="style1409811451855" xfId="642"/>
    <cellStyle name="style1409811451872" xfId="643"/>
    <cellStyle name="style1409811451889" xfId="644"/>
    <cellStyle name="style1409811451906" xfId="645"/>
    <cellStyle name="style1409811451924" xfId="646"/>
    <cellStyle name="style1409811451943" xfId="647"/>
    <cellStyle name="style1409811451961" xfId="648"/>
    <cellStyle name="style1409811451978" xfId="649"/>
    <cellStyle name="style1409811452008" xfId="650"/>
    <cellStyle name="style1409811452041" xfId="651"/>
    <cellStyle name="style1409811452061" xfId="652"/>
    <cellStyle name="style1409811452606" xfId="653"/>
    <cellStyle name="style1409811452829" xfId="654"/>
    <cellStyle name="style1409812471424" xfId="655"/>
    <cellStyle name="style1409813259693" xfId="656"/>
    <cellStyle name="style1409813389577" xfId="657"/>
    <cellStyle name="style1409813389676" xfId="658"/>
    <cellStyle name="style1410496241751" xfId="659"/>
    <cellStyle name="style1410496241907" xfId="660"/>
    <cellStyle name="style1410496242208" xfId="661"/>
    <cellStyle name="style1410496242228" xfId="662"/>
    <cellStyle name="style1410496242249" xfId="663"/>
    <cellStyle name="style1410496242269" xfId="664"/>
    <cellStyle name="style1410496242289" xfId="665"/>
    <cellStyle name="style1410496242308" xfId="666"/>
    <cellStyle name="style1410496242349" xfId="667"/>
    <cellStyle name="style1410496242382" xfId="668"/>
    <cellStyle name="style1410496242404" xfId="669"/>
    <cellStyle name="style1410496242741" xfId="670"/>
    <cellStyle name="style1410762192666" xfId="671"/>
    <cellStyle name="style1410762192728" xfId="672"/>
    <cellStyle name="style1410762192775" xfId="673"/>
    <cellStyle name="style1410762192790" xfId="674"/>
    <cellStyle name="style1410762192822" xfId="675"/>
    <cellStyle name="style1410762192853" xfId="676"/>
    <cellStyle name="style1410762192884" xfId="677"/>
    <cellStyle name="style1410762192931" xfId="678"/>
    <cellStyle name="style1410762192962" xfId="679"/>
    <cellStyle name="style1410762192978" xfId="680"/>
    <cellStyle name="style1410762193009" xfId="681"/>
    <cellStyle name="style1410762193040" xfId="682"/>
    <cellStyle name="style1410762193071" xfId="683"/>
    <cellStyle name="style1410762193087" xfId="684"/>
    <cellStyle name="style1410762193118" xfId="685"/>
    <cellStyle name="style1410762193149" xfId="686"/>
    <cellStyle name="style1410762193212" xfId="687"/>
    <cellStyle name="style1410762193243" xfId="688"/>
    <cellStyle name="style1410762193274" xfId="689"/>
    <cellStyle name="style1410762193305" xfId="690"/>
    <cellStyle name="style1410762193321" xfId="691"/>
    <cellStyle name="style1410762193352" xfId="692"/>
    <cellStyle name="style1410762193368" xfId="693"/>
    <cellStyle name="style1410762193399" xfId="694"/>
    <cellStyle name="style1410762193414" xfId="695"/>
    <cellStyle name="style1410762193446" xfId="696"/>
    <cellStyle name="style1410762193461" xfId="697"/>
    <cellStyle name="style1410762193492" xfId="698"/>
    <cellStyle name="style1410762193508" xfId="699"/>
    <cellStyle name="style1410762193539" xfId="700"/>
    <cellStyle name="style1410762193570" xfId="701"/>
    <cellStyle name="style1410762193602" xfId="702"/>
    <cellStyle name="style1410762193617" xfId="703"/>
    <cellStyle name="style1410762193648" xfId="704"/>
    <cellStyle name="style1410762193680" xfId="705"/>
    <cellStyle name="style1410762193695" xfId="706"/>
    <cellStyle name="style1410762193726" xfId="707"/>
    <cellStyle name="style1410762193742" xfId="708"/>
    <cellStyle name="style1410762193773" xfId="709"/>
    <cellStyle name="style1410762193836" xfId="710"/>
    <cellStyle name="style1410762193867" xfId="711"/>
    <cellStyle name="style1410762193898" xfId="712"/>
    <cellStyle name="style1410762193914" xfId="713"/>
    <cellStyle name="style1410762193945" xfId="714"/>
    <cellStyle name="style1410762193976" xfId="715"/>
    <cellStyle name="style1410762193992" xfId="716"/>
    <cellStyle name="style1410762194023" xfId="717"/>
    <cellStyle name="style1410762194054" xfId="718"/>
    <cellStyle name="style1410762194070" xfId="719"/>
    <cellStyle name="style1410762194101" xfId="720"/>
    <cellStyle name="style1410762194116" xfId="721"/>
    <cellStyle name="style1410762194148" xfId="722"/>
    <cellStyle name="style1410762194179" xfId="723"/>
    <cellStyle name="style1410762194194" xfId="724"/>
    <cellStyle name="style1410762194226" xfId="725"/>
    <cellStyle name="style1410762194241" xfId="726"/>
    <cellStyle name="style1410762194272" xfId="727"/>
    <cellStyle name="style1410762194288" xfId="728"/>
    <cellStyle name="style1410762194319" xfId="729"/>
    <cellStyle name="style1410762194335" xfId="730"/>
    <cellStyle name="style1410762194397" xfId="731"/>
    <cellStyle name="style1410762194428" xfId="732"/>
    <cellStyle name="style1410762194444" xfId="733"/>
    <cellStyle name="style1410762194475" xfId="734"/>
    <cellStyle name="style1410762194491" xfId="735"/>
    <cellStyle name="style1410762194522" xfId="736"/>
    <cellStyle name="style1410762194553" xfId="737"/>
    <cellStyle name="style1410762194584" xfId="738"/>
    <cellStyle name="style1410762194818" xfId="739"/>
    <cellStyle name="style1410762194850" xfId="740"/>
    <cellStyle name="style1410762195286" xfId="741"/>
    <cellStyle name="style1410762332983" xfId="742"/>
    <cellStyle name="style1410762333012" xfId="743"/>
    <cellStyle name="style1410762333039" xfId="744"/>
    <cellStyle name="style1410762333059" xfId="745"/>
    <cellStyle name="style1410762333083" xfId="746"/>
    <cellStyle name="style1410762333107" xfId="747"/>
    <cellStyle name="style1410762333130" xfId="748"/>
    <cellStyle name="style1410762333155" xfId="749"/>
    <cellStyle name="style1410762333179" xfId="750"/>
    <cellStyle name="style1410762333203" xfId="751"/>
    <cellStyle name="style1410762333227" xfId="752"/>
    <cellStyle name="style1410762333252" xfId="753"/>
    <cellStyle name="style1410762333271" xfId="754"/>
    <cellStyle name="style1410762333290" xfId="755"/>
    <cellStyle name="style1410762333317" xfId="756"/>
    <cellStyle name="style1410762333337" xfId="757"/>
    <cellStyle name="style1410762333362" xfId="758"/>
    <cellStyle name="style1410762333382" xfId="759"/>
    <cellStyle name="style1410762333406" xfId="760"/>
    <cellStyle name="style1410762333430" xfId="761"/>
    <cellStyle name="style1410762333454" xfId="762"/>
    <cellStyle name="style1410762333473" xfId="763"/>
    <cellStyle name="style1410762333493" xfId="764"/>
    <cellStyle name="style1410762333512" xfId="765"/>
    <cellStyle name="style1410762333533" xfId="766"/>
    <cellStyle name="style1410762333553" xfId="767"/>
    <cellStyle name="style1410762333575" xfId="768"/>
    <cellStyle name="style1410762333595" xfId="769"/>
    <cellStyle name="style1410762333615" xfId="770"/>
    <cellStyle name="style1410762333639" xfId="771"/>
    <cellStyle name="style1410762333663" xfId="772"/>
    <cellStyle name="style1410762333690" xfId="773"/>
    <cellStyle name="style1410762333767" xfId="774"/>
    <cellStyle name="style1410762333791" xfId="775"/>
    <cellStyle name="style1410762333816" xfId="776"/>
    <cellStyle name="style1410762333836" xfId="777"/>
    <cellStyle name="style1410762333854" xfId="778"/>
    <cellStyle name="style1410762333874" xfId="779"/>
    <cellStyle name="style1410762333895" xfId="780"/>
    <cellStyle name="style1410762333916" xfId="781"/>
    <cellStyle name="style1410762333940" xfId="782"/>
    <cellStyle name="style1410762333964" xfId="783"/>
    <cellStyle name="style1410762333983" xfId="784"/>
    <cellStyle name="style1410762334007" xfId="785"/>
    <cellStyle name="style1410762334030" xfId="786"/>
    <cellStyle name="style1410762334050" xfId="787"/>
    <cellStyle name="style1410762334073" xfId="788"/>
    <cellStyle name="style1410762334097" xfId="789"/>
    <cellStyle name="style1410762334121" xfId="790"/>
    <cellStyle name="style1410762334139" xfId="791"/>
    <cellStyle name="style1410762334158" xfId="792"/>
    <cellStyle name="style1410762334181" xfId="793"/>
    <cellStyle name="style1410762334205" xfId="794"/>
    <cellStyle name="style1410762334230" xfId="795"/>
    <cellStyle name="style1410762334250" xfId="796"/>
    <cellStyle name="style1410762334275" xfId="797"/>
    <cellStyle name="style1410762334294" xfId="798"/>
    <cellStyle name="style1410762334313" xfId="799"/>
    <cellStyle name="style1410762334333" xfId="800"/>
    <cellStyle name="style1410762334354" xfId="801"/>
    <cellStyle name="style1410762334372" xfId="802"/>
    <cellStyle name="style1410762334391" xfId="803"/>
    <cellStyle name="style1410762334410" xfId="804"/>
    <cellStyle name="style1410762334428" xfId="805"/>
    <cellStyle name="style1410762334446" xfId="806"/>
    <cellStyle name="style1410762334464" xfId="807"/>
    <cellStyle name="style1410762334482" xfId="808"/>
    <cellStyle name="style1410762334646" xfId="809"/>
    <cellStyle name="style1410762334676" xfId="810"/>
    <cellStyle name="style1410762334710" xfId="811"/>
    <cellStyle name="style1410762334814" xfId="812"/>
    <cellStyle name="style1410762335009" xfId="813"/>
    <cellStyle name="style1410851014922" xfId="814"/>
    <cellStyle name="style1410851015234" xfId="815"/>
    <cellStyle name="style1410851404619" xfId="816"/>
    <cellStyle name="style1411446450504" xfId="817"/>
    <cellStyle name="style1411446450504 2" xfId="818"/>
    <cellStyle name="style1411446450551" xfId="819"/>
    <cellStyle name="style1411446450551 2" xfId="820"/>
    <cellStyle name="style1411446450598" xfId="821"/>
    <cellStyle name="style1411446450598 2" xfId="822"/>
    <cellStyle name="style1411446450629" xfId="823"/>
    <cellStyle name="style1411446450629 2" xfId="824"/>
    <cellStyle name="style1411446450660" xfId="825"/>
    <cellStyle name="style1411446450660 2" xfId="826"/>
    <cellStyle name="style1411446450738" xfId="827"/>
    <cellStyle name="style1411446450738 2" xfId="828"/>
    <cellStyle name="style1411446450769" xfId="829"/>
    <cellStyle name="style1411446450769 2" xfId="830"/>
    <cellStyle name="style1411446450801" xfId="831"/>
    <cellStyle name="style1411446450801 2" xfId="832"/>
    <cellStyle name="style1411446450847" xfId="833"/>
    <cellStyle name="style1411446450847 2" xfId="834"/>
    <cellStyle name="style1411446450879" xfId="835"/>
    <cellStyle name="style1411446450879 2" xfId="836"/>
    <cellStyle name="style1411446450910" xfId="837"/>
    <cellStyle name="style1411446450910 2" xfId="838"/>
    <cellStyle name="style1411446450957" xfId="839"/>
    <cellStyle name="style1411446450957 2" xfId="840"/>
    <cellStyle name="style1411446450988" xfId="841"/>
    <cellStyle name="style1411446450988 2" xfId="842"/>
    <cellStyle name="style1411446451019" xfId="843"/>
    <cellStyle name="style1411446451019 2" xfId="844"/>
    <cellStyle name="style1411446451050" xfId="845"/>
    <cellStyle name="style1411446451050 2" xfId="846"/>
    <cellStyle name="style1411446451128" xfId="847"/>
    <cellStyle name="style1411446451128 2" xfId="848"/>
    <cellStyle name="style1411446451159" xfId="849"/>
    <cellStyle name="style1411446451159 2" xfId="850"/>
    <cellStyle name="style1411446451191" xfId="851"/>
    <cellStyle name="style1411446451191 2" xfId="852"/>
    <cellStyle name="style1411446451206" xfId="853"/>
    <cellStyle name="style1411446451206 2" xfId="854"/>
    <cellStyle name="style1411446451237" xfId="855"/>
    <cellStyle name="style1411446451237 2" xfId="856"/>
    <cellStyle name="style1411446451269" xfId="857"/>
    <cellStyle name="style1411446451269 2" xfId="858"/>
    <cellStyle name="style1411446451284" xfId="859"/>
    <cellStyle name="style1411446451284 2" xfId="860"/>
    <cellStyle name="style1411446451315" xfId="861"/>
    <cellStyle name="style1411446451315 2" xfId="862"/>
    <cellStyle name="style1411446451331" xfId="863"/>
    <cellStyle name="style1411446451331 2" xfId="864"/>
    <cellStyle name="style1411446451362" xfId="865"/>
    <cellStyle name="style1411446451362 2" xfId="866"/>
    <cellStyle name="style1411446451378" xfId="867"/>
    <cellStyle name="style1411446451378 2" xfId="868"/>
    <cellStyle name="style1411446451409" xfId="869"/>
    <cellStyle name="style1411446451409 2" xfId="870"/>
    <cellStyle name="style1411446451471" xfId="871"/>
    <cellStyle name="style1411446451471 2" xfId="872"/>
    <cellStyle name="style1411446451518" xfId="873"/>
    <cellStyle name="style1411446451518 2" xfId="874"/>
    <cellStyle name="style1411446451549" xfId="875"/>
    <cellStyle name="style1411446451549 2" xfId="876"/>
    <cellStyle name="style1411446451581" xfId="877"/>
    <cellStyle name="style1411446451581 2" xfId="878"/>
    <cellStyle name="style1411446451596" xfId="879"/>
    <cellStyle name="style1411446451596 2" xfId="880"/>
    <cellStyle name="style1411446451627" xfId="881"/>
    <cellStyle name="style1411446451627 2" xfId="882"/>
    <cellStyle name="style1411446451659" xfId="883"/>
    <cellStyle name="style1411446451659 2" xfId="884"/>
    <cellStyle name="style1411446451690" xfId="885"/>
    <cellStyle name="style1411446451690 2" xfId="886"/>
    <cellStyle name="style1411446451705" xfId="887"/>
    <cellStyle name="style1411446451705 2" xfId="888"/>
    <cellStyle name="style1411446451721" xfId="889"/>
    <cellStyle name="style1411446451721 2" xfId="890"/>
    <cellStyle name="style1411446451752" xfId="891"/>
    <cellStyle name="style1411446451752 2" xfId="892"/>
    <cellStyle name="style1411446451815" xfId="893"/>
    <cellStyle name="style1411446451815 2" xfId="894"/>
    <cellStyle name="style1411446451846" xfId="895"/>
    <cellStyle name="style1411446451846 2" xfId="896"/>
    <cellStyle name="style1411446451877" xfId="897"/>
    <cellStyle name="style1411446451877 2" xfId="898"/>
    <cellStyle name="style1411446451893" xfId="899"/>
    <cellStyle name="style1411446451893 2" xfId="900"/>
    <cellStyle name="style1411446451924" xfId="901"/>
    <cellStyle name="style1411446451924 2" xfId="902"/>
    <cellStyle name="style1411446451955" xfId="903"/>
    <cellStyle name="style1411446451955 2" xfId="904"/>
    <cellStyle name="style1411446451971" xfId="905"/>
    <cellStyle name="style1411446451971 2" xfId="906"/>
    <cellStyle name="style1411446452002" xfId="907"/>
    <cellStyle name="style1411446452002 2" xfId="908"/>
    <cellStyle name="style1411446452033" xfId="909"/>
    <cellStyle name="style1411446452033 2" xfId="910"/>
    <cellStyle name="style1411446452049" xfId="911"/>
    <cellStyle name="style1411446452049 2" xfId="912"/>
    <cellStyle name="style1411446452111" xfId="913"/>
    <cellStyle name="style1411446452111 2" xfId="914"/>
    <cellStyle name="style1411446452142" xfId="915"/>
    <cellStyle name="style1411446452142 2" xfId="916"/>
    <cellStyle name="style1411446452158" xfId="917"/>
    <cellStyle name="style1411446452158 2" xfId="918"/>
    <cellStyle name="style1411446452189" xfId="919"/>
    <cellStyle name="style1411446452189 2" xfId="920"/>
    <cellStyle name="style1411446452220" xfId="921"/>
    <cellStyle name="style1411446452220 2" xfId="922"/>
    <cellStyle name="style1411446452236" xfId="923"/>
    <cellStyle name="style1411446452236 2" xfId="924"/>
    <cellStyle name="style1411446452267" xfId="925"/>
    <cellStyle name="style1411446452267 2" xfId="926"/>
    <cellStyle name="style1411446452298" xfId="927"/>
    <cellStyle name="style1411446452298 2" xfId="928"/>
    <cellStyle name="style1411446452314" xfId="929"/>
    <cellStyle name="style1411446452314 2" xfId="930"/>
    <cellStyle name="style1411446452329" xfId="931"/>
    <cellStyle name="style1411446452329 2" xfId="932"/>
    <cellStyle name="style1411446452361" xfId="933"/>
    <cellStyle name="style1411446452361 2" xfId="934"/>
    <cellStyle name="style1411446452407" xfId="935"/>
    <cellStyle name="style1411446452407 2" xfId="936"/>
    <cellStyle name="style1411446452439" xfId="937"/>
    <cellStyle name="style1411446452439 2" xfId="938"/>
    <cellStyle name="style1411446452454" xfId="939"/>
    <cellStyle name="style1411446452454 2" xfId="940"/>
    <cellStyle name="style1411446452485" xfId="941"/>
    <cellStyle name="style1411446452485 2" xfId="942"/>
    <cellStyle name="style1411446452501" xfId="943"/>
    <cellStyle name="style1411446452501 2" xfId="944"/>
    <cellStyle name="style1411446452532" xfId="945"/>
    <cellStyle name="style1411446452532 2" xfId="946"/>
    <cellStyle name="style1411446452548" xfId="947"/>
    <cellStyle name="style1411446452548 2" xfId="948"/>
    <cellStyle name="style1411446452563" xfId="949"/>
    <cellStyle name="style1411446452563 2" xfId="950"/>
    <cellStyle name="style1411449801970" xfId="951"/>
    <cellStyle name="style1411449802014" xfId="952"/>
    <cellStyle name="style1411449802039" xfId="953"/>
    <cellStyle name="style1411449802064" xfId="954"/>
    <cellStyle name="style1411449802092" xfId="955"/>
    <cellStyle name="style1411449802118" xfId="956"/>
    <cellStyle name="style1411449802516" xfId="957"/>
    <cellStyle name="style1411449802578" xfId="958"/>
    <cellStyle name="style1411449802602" xfId="959"/>
    <cellStyle name="style1411449802628" xfId="960"/>
    <cellStyle name="style1411449802695" xfId="961"/>
    <cellStyle name="style1411449802719" xfId="962"/>
    <cellStyle name="style1411449802744" xfId="963"/>
    <cellStyle name="style1411449802916" xfId="964"/>
    <cellStyle name="style1411449802935" xfId="965"/>
    <cellStyle name="style1411449802987" xfId="966"/>
    <cellStyle name="style1411449803130" xfId="967"/>
    <cellStyle name="style1411449803296" xfId="968"/>
    <cellStyle name="style1411449803317" xfId="969"/>
    <cellStyle name="style1411449803337" xfId="970"/>
    <cellStyle name="style1411449803356" xfId="971"/>
    <cellStyle name="style1411449803379" xfId="972"/>
    <cellStyle name="style1411449803400" xfId="973"/>
    <cellStyle name="style1411449803420" xfId="974"/>
    <cellStyle name="style1411449803440" xfId="975"/>
    <cellStyle name="style1411449803461" xfId="976"/>
    <cellStyle name="style1411449803483" xfId="977"/>
    <cellStyle name="style1411449803510" xfId="978"/>
    <cellStyle name="style1411449803534" xfId="979"/>
    <cellStyle name="style1411449803554" xfId="980"/>
    <cellStyle name="style1411449803577" xfId="981"/>
    <cellStyle name="style1411451081406" xfId="982"/>
    <cellStyle name="style1411451081449" xfId="983"/>
    <cellStyle name="style1411451081472" xfId="984"/>
    <cellStyle name="style1411451081497" xfId="985"/>
    <cellStyle name="style1411451081522" xfId="986"/>
    <cellStyle name="style1411451081547" xfId="987"/>
    <cellStyle name="style1411451081953" xfId="988"/>
    <cellStyle name="style1411451082017" xfId="989"/>
    <cellStyle name="style1411451082043" xfId="990"/>
    <cellStyle name="style1411451082068" xfId="991"/>
    <cellStyle name="style1411451082091" xfId="992"/>
    <cellStyle name="style1411451082115" xfId="993"/>
    <cellStyle name="style1411451082188" xfId="994"/>
    <cellStyle name="style1411451082364" xfId="995"/>
    <cellStyle name="style1411451082383" xfId="996"/>
    <cellStyle name="style1411451082433" xfId="997"/>
    <cellStyle name="style1411451082533" xfId="998"/>
    <cellStyle name="style1411451082735" xfId="999"/>
    <cellStyle name="style1411451082754" xfId="1000"/>
    <cellStyle name="style1411451082774" xfId="1001"/>
    <cellStyle name="style1411451082793" xfId="1002"/>
    <cellStyle name="style1411451082814" xfId="1003"/>
    <cellStyle name="style1411451082834" xfId="1004"/>
    <cellStyle name="style1411451082853" xfId="1005"/>
    <cellStyle name="style1411451082873" xfId="1006"/>
    <cellStyle name="style1411451082893" xfId="1007"/>
    <cellStyle name="style1411451082912" xfId="1008"/>
    <cellStyle name="style1411451082933" xfId="1009"/>
    <cellStyle name="style1411451082954" xfId="1010"/>
    <cellStyle name="style1411451082974" xfId="1011"/>
    <cellStyle name="style1411451082993" xfId="1012"/>
    <cellStyle name="style1411451083012" xfId="1013"/>
    <cellStyle name="style1411542382001" xfId="1014"/>
    <cellStyle name="style1411542382059" xfId="1015"/>
    <cellStyle name="style1411542382094" xfId="1016"/>
    <cellStyle name="style1411542382123" xfId="1017"/>
    <cellStyle name="style1411542382156" xfId="1018"/>
    <cellStyle name="style1411542382190" xfId="1019"/>
    <cellStyle name="style1411542382225" xfId="1020"/>
    <cellStyle name="style1411542382311" xfId="1021"/>
    <cellStyle name="style1411542382346" xfId="1022"/>
    <cellStyle name="style1411542382378" xfId="1023"/>
    <cellStyle name="style1411542382409" xfId="1024"/>
    <cellStyle name="style1411542382440" xfId="1025"/>
    <cellStyle name="style1411542382466" xfId="1026"/>
    <cellStyle name="style1411542382491" xfId="1027"/>
    <cellStyle name="style1411542382523" xfId="1028"/>
    <cellStyle name="style1411542382556" xfId="1029"/>
    <cellStyle name="style1411542382585" xfId="1030"/>
    <cellStyle name="style1411542382613" xfId="1031"/>
    <cellStyle name="style1411542382701" xfId="1032"/>
    <cellStyle name="style1411542382751" xfId="1033"/>
    <cellStyle name="style1411542382774" xfId="1034"/>
    <cellStyle name="style1411542382797" xfId="1035"/>
    <cellStyle name="style1411542382821" xfId="1036"/>
    <cellStyle name="style1411542382844" xfId="1037"/>
    <cellStyle name="style1411542382872" xfId="1038"/>
    <cellStyle name="style1411542382898" xfId="1039"/>
    <cellStyle name="style1411542382921" xfId="1040"/>
    <cellStyle name="style1411542382949" xfId="1041"/>
    <cellStyle name="style1411542382977" xfId="1042"/>
    <cellStyle name="style1411542383005" xfId="1043"/>
    <cellStyle name="style1411542383036" xfId="1044"/>
    <cellStyle name="style1411542383066" xfId="1045"/>
    <cellStyle name="style1411542383094" xfId="1046"/>
    <cellStyle name="style1411542383116" xfId="1047"/>
    <cellStyle name="style1411542383137" xfId="1048"/>
    <cellStyle name="style1411542383160" xfId="1049"/>
    <cellStyle name="style1411542383184" xfId="1050"/>
    <cellStyle name="style1411542383249" xfId="1051"/>
    <cellStyle name="style1411542383276" xfId="1052"/>
    <cellStyle name="style1411542383303" xfId="1053"/>
    <cellStyle name="style1411542383332" xfId="1054"/>
    <cellStyle name="style1411542383355" xfId="1055"/>
    <cellStyle name="style1411542383382" xfId="1056"/>
    <cellStyle name="style1411542383409" xfId="1057"/>
    <cellStyle name="style1411542383430" xfId="1058"/>
    <cellStyle name="style1411542383457" xfId="1059"/>
    <cellStyle name="style1411542383483" xfId="1060"/>
    <cellStyle name="style1411542383510" xfId="1061"/>
    <cellStyle name="style1411542383530" xfId="1062"/>
    <cellStyle name="style1411542383552" xfId="1063"/>
    <cellStyle name="style1411542383579" xfId="1064"/>
    <cellStyle name="style1411542383606" xfId="1065"/>
    <cellStyle name="style1411542383632" xfId="1066"/>
    <cellStyle name="style1411542383654" xfId="1067"/>
    <cellStyle name="style1411542383684" xfId="1068"/>
    <cellStyle name="style1411542383710" xfId="1069"/>
    <cellStyle name="style1411542383732" xfId="1070"/>
    <cellStyle name="style1411542383756" xfId="1071"/>
    <cellStyle name="style1411542383790" xfId="1072"/>
    <cellStyle name="style1411542383813" xfId="1073"/>
    <cellStyle name="style1411542383835" xfId="1074"/>
    <cellStyle name="style1411542383858" xfId="1075"/>
    <cellStyle name="style1411542383881" xfId="1076"/>
    <cellStyle name="style1411542383904" xfId="1077"/>
    <cellStyle name="style1411542383967" xfId="1078"/>
    <cellStyle name="style1411542383989" xfId="1079"/>
    <cellStyle name="style1411542384009" xfId="1080"/>
    <cellStyle name="style1411542384030" xfId="1081"/>
    <cellStyle name="style1411542384052" xfId="1082"/>
    <cellStyle name="style1411542384115" xfId="1083"/>
    <cellStyle name="style1411542384148" xfId="1084"/>
    <cellStyle name="style1411542384169" xfId="1085"/>
    <cellStyle name="style1411542384188" xfId="1086"/>
    <cellStyle name="style1411542384208" xfId="1087"/>
    <cellStyle name="style1411542384227" xfId="1088"/>
    <cellStyle name="style1411542384246" xfId="1089"/>
    <cellStyle name="style1411542384273" xfId="1090"/>
    <cellStyle name="style1411542384293" xfId="1091"/>
    <cellStyle name="subhead" xfId="1092"/>
    <cellStyle name="table" xfId="1093"/>
    <cellStyle name="wideline" xfId="1094"/>
    <cellStyle name="X01_Page_head" xfId="1204"/>
    <cellStyle name="X02_Text subhead" xfId="1205"/>
    <cellStyle name="X03_Col head general" xfId="1206"/>
    <cellStyle name="X04_Text subhead" xfId="1207"/>
    <cellStyle name="X05_Figs" xfId="1208"/>
    <cellStyle name="X06_Figs %" xfId="1209"/>
    <cellStyle name="X07_Notes" xfId="1210"/>
    <cellStyle name="X08_Total Oil" xfId="1211"/>
    <cellStyle name="X09_Folio" xfId="1212"/>
    <cellStyle name="X10_Figs 21 dec" xfId="1213"/>
    <cellStyle name="X12_Total Figs 1 dec" xfId="16"/>
  </cellStyles>
  <dxfs count="0"/>
  <tableStyles count="0" defaultTableStyle="TableStyleMedium2" defaultPivotStyle="PivotStyleLight16"/>
  <colors>
    <mruColors>
      <color rgb="FFFFFF99"/>
      <color rgb="FFCCFF99"/>
      <color rgb="FF996600"/>
      <color rgb="FFBE54A7"/>
      <color rgb="FFF4BED9"/>
      <color rgb="FFDEEE12"/>
      <color rgb="FF46CBCE"/>
      <color rgb="FF16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Fig 6.5: Yearwise Consumption</a:t>
            </a:r>
            <a:r>
              <a:rPr lang="en-IN" baseline="0"/>
              <a:t> of Petroleum Products in Million Tonnes</a:t>
            </a:r>
            <a:endParaRPr lang="en-IN"/>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'6.5'!$B$4</c:f>
              <c:strCache>
                <c:ptCount val="1"/>
                <c:pt idx="0">
                  <c:v>LPG</c:v>
                </c:pt>
              </c:strCache>
            </c:strRef>
          </c:tx>
          <c:spPr>
            <a:solidFill>
              <a:schemeClr val="accent1"/>
            </a:solidFill>
            <a:ln>
              <a:noFill/>
            </a:ln>
            <a:effectLst/>
          </c:spPr>
          <c:invertIfNegative val="0"/>
          <c:cat>
            <c:strRef>
              <c:extLst>
                <c:ext xmlns:c15="http://schemas.microsoft.com/office/drawing/2012/chart" uri="{02D57815-91ED-43cb-92C2-25804820EDAC}">
                  <c15:fullRef>
                    <c15:sqref>'6.5'!$A$6:$A$15</c15:sqref>
                  </c15:fullRef>
                </c:ext>
              </c:extLst>
              <c:f>'6.5'!$A$11:$A$15</c:f>
              <c:strCache>
                <c:ptCount val="5"/>
                <c:pt idx="0">
                  <c:v>2015-16</c:v>
                </c:pt>
                <c:pt idx="1">
                  <c:v>2016-17</c:v>
                </c:pt>
                <c:pt idx="2">
                  <c:v>2017-18</c:v>
                </c:pt>
                <c:pt idx="3">
                  <c:v>2018-19 </c:v>
                </c:pt>
                <c:pt idx="4">
                  <c:v>2019-20 (P)</c:v>
                </c:pt>
              </c:strCache>
            </c:strRef>
          </c:cat>
          <c:val>
            <c:numRef>
              <c:extLst>
                <c:ext xmlns:c15="http://schemas.microsoft.com/office/drawing/2012/chart" uri="{02D57815-91ED-43cb-92C2-25804820EDAC}">
                  <c15:fullRef>
                    <c15:sqref>'6.5'!$B$6:$B$15</c15:sqref>
                  </c15:fullRef>
                </c:ext>
              </c:extLst>
              <c:f>'6.5'!$B$11:$B$15</c:f>
              <c:numCache>
                <c:formatCode>0.00</c:formatCode>
                <c:ptCount val="5"/>
                <c:pt idx="0">
                  <c:v>19.623222261999999</c:v>
                </c:pt>
                <c:pt idx="1">
                  <c:v>21.608210237999991</c:v>
                </c:pt>
                <c:pt idx="2">
                  <c:v>23.341821038999992</c:v>
                </c:pt>
                <c:pt idx="3">
                  <c:v>24.906798505999998</c:v>
                </c:pt>
                <c:pt idx="4">
                  <c:v>26.329779999007101</c:v>
                </c:pt>
              </c:numCache>
            </c:numRef>
          </c:val>
          <c:extLst>
            <c:ext xmlns:c16="http://schemas.microsoft.com/office/drawing/2014/chart" uri="{C3380CC4-5D6E-409C-BE32-E72D297353CC}">
              <c16:uniqueId val="{00000000-F77C-42F6-82EA-C8DA3F992D75}"/>
            </c:ext>
          </c:extLst>
        </c:ser>
        <c:ser>
          <c:idx val="1"/>
          <c:order val="1"/>
          <c:tx>
            <c:strRef>
              <c:f>'6.5'!$C$4</c:f>
              <c:strCache>
                <c:ptCount val="1"/>
                <c:pt idx="0">
                  <c:v>Petrol</c:v>
                </c:pt>
              </c:strCache>
            </c:strRef>
          </c:tx>
          <c:spPr>
            <a:solidFill>
              <a:schemeClr val="accent2"/>
            </a:solidFill>
            <a:ln>
              <a:noFill/>
            </a:ln>
            <a:effectLst/>
          </c:spPr>
          <c:invertIfNegative val="0"/>
          <c:cat>
            <c:strRef>
              <c:extLst>
                <c:ext xmlns:c15="http://schemas.microsoft.com/office/drawing/2012/chart" uri="{02D57815-91ED-43cb-92C2-25804820EDAC}">
                  <c15:fullRef>
                    <c15:sqref>'6.5'!$A$6:$A$15</c15:sqref>
                  </c15:fullRef>
                </c:ext>
              </c:extLst>
              <c:f>'6.5'!$A$11:$A$15</c:f>
              <c:strCache>
                <c:ptCount val="5"/>
                <c:pt idx="0">
                  <c:v>2015-16</c:v>
                </c:pt>
                <c:pt idx="1">
                  <c:v>2016-17</c:v>
                </c:pt>
                <c:pt idx="2">
                  <c:v>2017-18</c:v>
                </c:pt>
                <c:pt idx="3">
                  <c:v>2018-19 </c:v>
                </c:pt>
                <c:pt idx="4">
                  <c:v>2019-20 (P)</c:v>
                </c:pt>
              </c:strCache>
            </c:strRef>
          </c:cat>
          <c:val>
            <c:numRef>
              <c:extLst>
                <c:ext xmlns:c15="http://schemas.microsoft.com/office/drawing/2012/chart" uri="{02D57815-91ED-43cb-92C2-25804820EDAC}">
                  <c15:fullRef>
                    <c15:sqref>'6.5'!$C$6:$C$15</c15:sqref>
                  </c15:fullRef>
                </c:ext>
              </c:extLst>
              <c:f>'6.5'!$C$11:$C$15</c:f>
              <c:numCache>
                <c:formatCode>0.00</c:formatCode>
                <c:ptCount val="5"/>
                <c:pt idx="0">
                  <c:v>21.846630900000008</c:v>
                </c:pt>
                <c:pt idx="1">
                  <c:v>23.764934030000013</c:v>
                </c:pt>
                <c:pt idx="2">
                  <c:v>26.174478359999984</c:v>
                </c:pt>
                <c:pt idx="3">
                  <c:v>28.284404870000003</c:v>
                </c:pt>
                <c:pt idx="4">
                  <c:v>29.975488406249024</c:v>
                </c:pt>
              </c:numCache>
            </c:numRef>
          </c:val>
          <c:extLst>
            <c:ext xmlns:c16="http://schemas.microsoft.com/office/drawing/2014/chart" uri="{C3380CC4-5D6E-409C-BE32-E72D297353CC}">
              <c16:uniqueId val="{00000001-F77C-42F6-82EA-C8DA3F992D75}"/>
            </c:ext>
          </c:extLst>
        </c:ser>
        <c:ser>
          <c:idx val="2"/>
          <c:order val="2"/>
          <c:tx>
            <c:strRef>
              <c:f>'6.5'!$E$4</c:f>
              <c:strCache>
                <c:ptCount val="1"/>
                <c:pt idx="0">
                  <c:v>Kerosene</c:v>
                </c:pt>
              </c:strCache>
            </c:strRef>
          </c:tx>
          <c:spPr>
            <a:solidFill>
              <a:schemeClr val="accent3"/>
            </a:solidFill>
            <a:ln>
              <a:noFill/>
            </a:ln>
            <a:effectLst/>
          </c:spPr>
          <c:invertIfNegative val="0"/>
          <c:cat>
            <c:strRef>
              <c:extLst>
                <c:ext xmlns:c15="http://schemas.microsoft.com/office/drawing/2012/chart" uri="{02D57815-91ED-43cb-92C2-25804820EDAC}">
                  <c15:fullRef>
                    <c15:sqref>'6.5'!$A$6:$A$15</c15:sqref>
                  </c15:fullRef>
                </c:ext>
              </c:extLst>
              <c:f>'6.5'!$A$11:$A$15</c:f>
              <c:strCache>
                <c:ptCount val="5"/>
                <c:pt idx="0">
                  <c:v>2015-16</c:v>
                </c:pt>
                <c:pt idx="1">
                  <c:v>2016-17</c:v>
                </c:pt>
                <c:pt idx="2">
                  <c:v>2017-18</c:v>
                </c:pt>
                <c:pt idx="3">
                  <c:v>2018-19 </c:v>
                </c:pt>
                <c:pt idx="4">
                  <c:v>2019-20 (P)</c:v>
                </c:pt>
              </c:strCache>
            </c:strRef>
          </c:cat>
          <c:val>
            <c:numRef>
              <c:extLst>
                <c:ext xmlns:c15="http://schemas.microsoft.com/office/drawing/2012/chart" uri="{02D57815-91ED-43cb-92C2-25804820EDAC}">
                  <c15:fullRef>
                    <c15:sqref>'6.5'!$E$6:$E$15</c15:sqref>
                  </c15:fullRef>
                </c:ext>
              </c:extLst>
              <c:f>'6.5'!$E$11:$E$15</c:f>
              <c:numCache>
                <c:formatCode>0.00</c:formatCode>
                <c:ptCount val="5"/>
                <c:pt idx="0">
                  <c:v>6.826306589999998</c:v>
                </c:pt>
                <c:pt idx="1">
                  <c:v>5.3968133900000144</c:v>
                </c:pt>
                <c:pt idx="2">
                  <c:v>3.8451181100000125</c:v>
                </c:pt>
                <c:pt idx="3">
                  <c:v>3.4594640899999916</c:v>
                </c:pt>
                <c:pt idx="4">
                  <c:v>2.3968245022973034</c:v>
                </c:pt>
              </c:numCache>
            </c:numRef>
          </c:val>
          <c:extLst>
            <c:ext xmlns:c16="http://schemas.microsoft.com/office/drawing/2014/chart" uri="{C3380CC4-5D6E-409C-BE32-E72D297353CC}">
              <c16:uniqueId val="{00000002-F77C-42F6-82EA-C8DA3F992D75}"/>
            </c:ext>
          </c:extLst>
        </c:ser>
        <c:ser>
          <c:idx val="3"/>
          <c:order val="3"/>
          <c:tx>
            <c:strRef>
              <c:f>'6.5'!$F$4</c:f>
              <c:strCache>
                <c:ptCount val="1"/>
                <c:pt idx="0">
                  <c:v>Aviation Turbine Fuel</c:v>
                </c:pt>
              </c:strCache>
              <c:extLst xmlns:c15="http://schemas.microsoft.com/office/drawing/2012/chart"/>
            </c:strRef>
          </c:tx>
          <c:spPr>
            <a:solidFill>
              <a:schemeClr val="accent4"/>
            </a:solidFill>
            <a:ln>
              <a:noFill/>
            </a:ln>
            <a:effectLst/>
          </c:spPr>
          <c:invertIfNegative val="0"/>
          <c:cat>
            <c:strRef>
              <c:extLst>
                <c:ext xmlns:c15="http://schemas.microsoft.com/office/drawing/2012/chart" uri="{02D57815-91ED-43cb-92C2-25804820EDAC}">
                  <c15:fullRef>
                    <c15:sqref>'6.5'!$A$6:$A$15</c15:sqref>
                  </c15:fullRef>
                </c:ext>
              </c:extLst>
              <c:f>'6.5'!$A$11:$A$15</c:f>
              <c:strCache>
                <c:ptCount val="5"/>
                <c:pt idx="0">
                  <c:v>2015-16</c:v>
                </c:pt>
                <c:pt idx="1">
                  <c:v>2016-17</c:v>
                </c:pt>
                <c:pt idx="2">
                  <c:v>2017-18</c:v>
                </c:pt>
                <c:pt idx="3">
                  <c:v>2018-19 </c:v>
                </c:pt>
                <c:pt idx="4">
                  <c:v>2019-20 (P)</c:v>
                </c:pt>
              </c:strCache>
            </c:strRef>
          </c:cat>
          <c:val>
            <c:numRef>
              <c:extLst>
                <c:ext xmlns:c15="http://schemas.microsoft.com/office/drawing/2012/chart" uri="{02D57815-91ED-43cb-92C2-25804820EDAC}">
                  <c15:fullRef>
                    <c15:sqref>'6.5'!$F$6:$F$15</c15:sqref>
                  </c15:fullRef>
                </c:ext>
              </c:extLst>
              <c:f>'6.5'!$F$11:$F$15</c:f>
              <c:numCache>
                <c:formatCode>0.00</c:formatCode>
                <c:ptCount val="5"/>
                <c:pt idx="0">
                  <c:v>6.2617449199999999</c:v>
                </c:pt>
                <c:pt idx="1">
                  <c:v>6.9975149700000019</c:v>
                </c:pt>
                <c:pt idx="2">
                  <c:v>7.6326844000000005</c:v>
                </c:pt>
                <c:pt idx="3">
                  <c:v>8.3000663400000008</c:v>
                </c:pt>
                <c:pt idx="4">
                  <c:v>7.9986090355175374</c:v>
                </c:pt>
              </c:numCache>
            </c:numRef>
          </c:val>
          <c:extLst xmlns:c15="http://schemas.microsoft.com/office/drawing/2012/chart">
            <c:ext xmlns:c16="http://schemas.microsoft.com/office/drawing/2014/chart" uri="{C3380CC4-5D6E-409C-BE32-E72D297353CC}">
              <c16:uniqueId val="{00000003-F77C-42F6-82EA-C8DA3F992D75}"/>
            </c:ext>
          </c:extLst>
        </c:ser>
        <c:ser>
          <c:idx val="4"/>
          <c:order val="4"/>
          <c:tx>
            <c:strRef>
              <c:f>'6.5'!$G$4</c:f>
              <c:strCache>
                <c:ptCount val="1"/>
                <c:pt idx="0">
                  <c:v>High Speed Diesel Oil</c:v>
                </c:pt>
              </c:strCache>
            </c:strRef>
          </c:tx>
          <c:spPr>
            <a:solidFill>
              <a:schemeClr val="accent5"/>
            </a:solidFill>
            <a:ln>
              <a:noFill/>
            </a:ln>
            <a:effectLst/>
          </c:spPr>
          <c:invertIfNegative val="0"/>
          <c:cat>
            <c:strRef>
              <c:extLst>
                <c:ext xmlns:c15="http://schemas.microsoft.com/office/drawing/2012/chart" uri="{02D57815-91ED-43cb-92C2-25804820EDAC}">
                  <c15:fullRef>
                    <c15:sqref>'6.5'!$A$6:$A$15</c15:sqref>
                  </c15:fullRef>
                </c:ext>
              </c:extLst>
              <c:f>'6.5'!$A$11:$A$15</c:f>
              <c:strCache>
                <c:ptCount val="5"/>
                <c:pt idx="0">
                  <c:v>2015-16</c:v>
                </c:pt>
                <c:pt idx="1">
                  <c:v>2016-17</c:v>
                </c:pt>
                <c:pt idx="2">
                  <c:v>2017-18</c:v>
                </c:pt>
                <c:pt idx="3">
                  <c:v>2018-19 </c:v>
                </c:pt>
                <c:pt idx="4">
                  <c:v>2019-20 (P)</c:v>
                </c:pt>
              </c:strCache>
            </c:strRef>
          </c:cat>
          <c:val>
            <c:numRef>
              <c:extLst>
                <c:ext xmlns:c15="http://schemas.microsoft.com/office/drawing/2012/chart" uri="{02D57815-91ED-43cb-92C2-25804820EDAC}">
                  <c15:fullRef>
                    <c15:sqref>'6.5'!$G$6:$G$15</c15:sqref>
                  </c15:fullRef>
                </c:ext>
              </c:extLst>
              <c:f>'6.5'!$G$11:$G$15</c:f>
              <c:numCache>
                <c:formatCode>0.00</c:formatCode>
                <c:ptCount val="5"/>
                <c:pt idx="0">
                  <c:v>74.647072010000002</c:v>
                </c:pt>
                <c:pt idx="1">
                  <c:v>76.026571259999741</c:v>
                </c:pt>
                <c:pt idx="2">
                  <c:v>81.07343645999967</c:v>
                </c:pt>
                <c:pt idx="3">
                  <c:v>83.52816559999988</c:v>
                </c:pt>
                <c:pt idx="4">
                  <c:v>82.602012505446794</c:v>
                </c:pt>
              </c:numCache>
            </c:numRef>
          </c:val>
          <c:extLst>
            <c:ext xmlns:c16="http://schemas.microsoft.com/office/drawing/2014/chart" uri="{C3380CC4-5D6E-409C-BE32-E72D297353CC}">
              <c16:uniqueId val="{00000004-F77C-42F6-82EA-C8DA3F992D75}"/>
            </c:ext>
          </c:extLst>
        </c:ser>
        <c:ser>
          <c:idx val="5"/>
          <c:order val="5"/>
          <c:tx>
            <c:strRef>
              <c:f>'6.5 (Contd.)'!$B$5:$B$6</c:f>
              <c:strCache>
                <c:ptCount val="2"/>
                <c:pt idx="0">
                  <c:v>Fuel  Oil</c:v>
                </c:pt>
              </c:strCache>
            </c:strRef>
          </c:tx>
          <c:spPr>
            <a:solidFill>
              <a:schemeClr val="accent6"/>
            </a:solidFill>
            <a:ln>
              <a:noFill/>
            </a:ln>
            <a:effectLst/>
          </c:spPr>
          <c:invertIfNegative val="0"/>
          <c:cat>
            <c:strRef>
              <c:extLst>
                <c:ext xmlns:c15="http://schemas.microsoft.com/office/drawing/2012/chart" uri="{02D57815-91ED-43cb-92C2-25804820EDAC}">
                  <c15:fullRef>
                    <c15:sqref>'6.5'!$A$6:$A$15</c15:sqref>
                  </c15:fullRef>
                </c:ext>
              </c:extLst>
              <c:f>'6.5'!$A$11:$A$15</c:f>
              <c:strCache>
                <c:ptCount val="5"/>
                <c:pt idx="0">
                  <c:v>2015-16</c:v>
                </c:pt>
                <c:pt idx="1">
                  <c:v>2016-17</c:v>
                </c:pt>
                <c:pt idx="2">
                  <c:v>2017-18</c:v>
                </c:pt>
                <c:pt idx="3">
                  <c:v>2018-19 </c:v>
                </c:pt>
                <c:pt idx="4">
                  <c:v>2019-20 (P)</c:v>
                </c:pt>
              </c:strCache>
            </c:strRef>
          </c:cat>
          <c:val>
            <c:numRef>
              <c:extLst>
                <c:ext xmlns:c15="http://schemas.microsoft.com/office/drawing/2012/chart" uri="{02D57815-91ED-43cb-92C2-25804820EDAC}">
                  <c15:fullRef>
                    <c15:sqref>'6.5 (Contd.)'!$B$8:$B$17</c15:sqref>
                  </c15:fullRef>
                </c:ext>
              </c:extLst>
              <c:f>'6.5 (Contd.)'!$B$13:$B$17</c:f>
              <c:numCache>
                <c:formatCode>0.00</c:formatCode>
                <c:ptCount val="5"/>
                <c:pt idx="0">
                  <c:v>6.6323055200000001</c:v>
                </c:pt>
                <c:pt idx="1">
                  <c:v>7.1504293600000022</c:v>
                </c:pt>
                <c:pt idx="2">
                  <c:v>6.7209720400000021</c:v>
                </c:pt>
                <c:pt idx="3">
                  <c:v>6.5635703500000009</c:v>
                </c:pt>
                <c:pt idx="4">
                  <c:v>6.3015391187900951</c:v>
                </c:pt>
              </c:numCache>
            </c:numRef>
          </c:val>
          <c:extLst>
            <c:ext xmlns:c16="http://schemas.microsoft.com/office/drawing/2014/chart" uri="{C3380CC4-5D6E-409C-BE32-E72D297353CC}">
              <c16:uniqueId val="{00000000-9C69-4470-8DDE-083CF2B59693}"/>
            </c:ext>
          </c:extLst>
        </c:ser>
        <c:ser>
          <c:idx val="6"/>
          <c:order val="6"/>
          <c:tx>
            <c:strRef>
              <c:f>'6.5 (Contd.)'!$C$5</c:f>
              <c:strCache>
                <c:ptCount val="1"/>
                <c:pt idx="0">
                  <c:v>Lubricants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'6.5'!$A$6:$A$15</c15:sqref>
                  </c15:fullRef>
                </c:ext>
              </c:extLst>
              <c:f>'6.5'!$A$11:$A$15</c:f>
              <c:strCache>
                <c:ptCount val="5"/>
                <c:pt idx="0">
                  <c:v>2015-16</c:v>
                </c:pt>
                <c:pt idx="1">
                  <c:v>2016-17</c:v>
                </c:pt>
                <c:pt idx="2">
                  <c:v>2017-18</c:v>
                </c:pt>
                <c:pt idx="3">
                  <c:v>2018-19 </c:v>
                </c:pt>
                <c:pt idx="4">
                  <c:v>2019-20 (P)</c:v>
                </c:pt>
              </c:strCache>
            </c:strRef>
          </c:cat>
          <c:val>
            <c:numRef>
              <c:extLst>
                <c:ext xmlns:c15="http://schemas.microsoft.com/office/drawing/2012/chart" uri="{02D57815-91ED-43cb-92C2-25804820EDAC}">
                  <c15:fullRef>
                    <c15:sqref>'6.5 (Contd.)'!$C$8:$C$17</c15:sqref>
                  </c15:fullRef>
                </c:ext>
              </c:extLst>
              <c:f>'6.5 (Contd.)'!$C$13:$C$17</c:f>
              <c:numCache>
                <c:formatCode>0.00</c:formatCode>
                <c:ptCount val="5"/>
                <c:pt idx="0">
                  <c:v>3.5711606000000002</c:v>
                </c:pt>
                <c:pt idx="1">
                  <c:v>3.4700676399999999</c:v>
                </c:pt>
                <c:pt idx="2">
                  <c:v>3.8838833120000005</c:v>
                </c:pt>
                <c:pt idx="3">
                  <c:v>3.6679544489999989</c:v>
                </c:pt>
                <c:pt idx="4">
                  <c:v>3.8333877818922595</c:v>
                </c:pt>
              </c:numCache>
            </c:numRef>
          </c:val>
          <c:extLst>
            <c:ext xmlns:c16="http://schemas.microsoft.com/office/drawing/2014/chart" uri="{C3380CC4-5D6E-409C-BE32-E72D297353CC}">
              <c16:uniqueId val="{00000001-9C69-4470-8DDE-083CF2B59693}"/>
            </c:ext>
          </c:extLst>
        </c:ser>
        <c:ser>
          <c:idx val="7"/>
          <c:order val="7"/>
          <c:tx>
            <c:strRef>
              <c:f>'6.5'!$D$4</c:f>
              <c:strCache>
                <c:ptCount val="1"/>
                <c:pt idx="0">
                  <c:v>Naphtha</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'6.5'!$A$6:$A$15</c15:sqref>
                  </c15:fullRef>
                </c:ext>
              </c:extLst>
              <c:f>'6.5'!$A$11:$A$15</c:f>
              <c:strCache>
                <c:ptCount val="5"/>
                <c:pt idx="0">
                  <c:v>2015-16</c:v>
                </c:pt>
                <c:pt idx="1">
                  <c:v>2016-17</c:v>
                </c:pt>
                <c:pt idx="2">
                  <c:v>2017-18</c:v>
                </c:pt>
                <c:pt idx="3">
                  <c:v>2018-19 </c:v>
                </c:pt>
                <c:pt idx="4">
                  <c:v>2019-20 (P)</c:v>
                </c:pt>
              </c:strCache>
            </c:strRef>
          </c:cat>
          <c:val>
            <c:numRef>
              <c:extLst>
                <c:ext xmlns:c15="http://schemas.microsoft.com/office/drawing/2012/chart" uri="{02D57815-91ED-43cb-92C2-25804820EDAC}">
                  <c15:fullRef>
                    <c15:sqref>'6.5'!$D$6:$D$15</c15:sqref>
                  </c15:fullRef>
                </c:ext>
              </c:extLst>
              <c:f>'6.5'!$D$11:$D$15</c:f>
              <c:numCache>
                <c:formatCode>0.00</c:formatCode>
                <c:ptCount val="5"/>
                <c:pt idx="0">
                  <c:v>13.270841390000001</c:v>
                </c:pt>
                <c:pt idx="1">
                  <c:v>13.24078059</c:v>
                </c:pt>
                <c:pt idx="2">
                  <c:v>12.88860699</c:v>
                </c:pt>
                <c:pt idx="3">
                  <c:v>14.131231639999999</c:v>
                </c:pt>
                <c:pt idx="4">
                  <c:v>14.267778782545454</c:v>
                </c:pt>
              </c:numCache>
            </c:numRef>
          </c:val>
          <c:extLst>
            <c:ext xmlns:c16="http://schemas.microsoft.com/office/drawing/2014/chart" uri="{C3380CC4-5D6E-409C-BE32-E72D297353CC}">
              <c16:uniqueId val="{00000002-9C69-4470-8DDE-083CF2B59693}"/>
            </c:ext>
          </c:extLst>
        </c:ser>
        <c:ser>
          <c:idx val="8"/>
          <c:order val="8"/>
          <c:tx>
            <c:strRef>
              <c:f>'6.5 (Contd.)'!$E$5:$E$6</c:f>
              <c:strCache>
                <c:ptCount val="2"/>
                <c:pt idx="0">
                  <c:v>Petroleum
coke</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'6.5'!$A$6:$A$15</c15:sqref>
                  </c15:fullRef>
                </c:ext>
              </c:extLst>
              <c:f>'6.5'!$A$11:$A$15</c:f>
              <c:strCache>
                <c:ptCount val="5"/>
                <c:pt idx="0">
                  <c:v>2015-16</c:v>
                </c:pt>
                <c:pt idx="1">
                  <c:v>2016-17</c:v>
                </c:pt>
                <c:pt idx="2">
                  <c:v>2017-18</c:v>
                </c:pt>
                <c:pt idx="3">
                  <c:v>2018-19 </c:v>
                </c:pt>
                <c:pt idx="4">
                  <c:v>2019-20 (P)</c:v>
                </c:pt>
              </c:strCache>
            </c:strRef>
          </c:cat>
          <c:val>
            <c:numRef>
              <c:extLst>
                <c:ext xmlns:c15="http://schemas.microsoft.com/office/drawing/2012/chart" uri="{02D57815-91ED-43cb-92C2-25804820EDAC}">
                  <c15:fullRef>
                    <c15:sqref>'6.5 (Contd.)'!$E$8:$E$17</c15:sqref>
                  </c15:fullRef>
                </c:ext>
              </c:extLst>
              <c:f>'6.5 (Contd.)'!$E$13:$E$17</c:f>
              <c:numCache>
                <c:formatCode>0.00</c:formatCode>
                <c:ptCount val="5"/>
                <c:pt idx="0">
                  <c:v>19.297422278999999</c:v>
                </c:pt>
                <c:pt idx="1">
                  <c:v>23.963986064999997</c:v>
                </c:pt>
                <c:pt idx="2">
                  <c:v>25.656728722</c:v>
                </c:pt>
                <c:pt idx="3">
                  <c:v>21.345929281000004</c:v>
                </c:pt>
                <c:pt idx="4">
                  <c:v>21.708158825000005</c:v>
                </c:pt>
              </c:numCache>
            </c:numRef>
          </c:val>
          <c:extLst>
            <c:ext xmlns:c16="http://schemas.microsoft.com/office/drawing/2014/chart" uri="{C3380CC4-5D6E-409C-BE32-E72D297353CC}">
              <c16:uniqueId val="{00000003-9C69-4470-8DDE-083CF2B59693}"/>
            </c:ext>
          </c:extLst>
        </c:ser>
        <c:ser>
          <c:idx val="9"/>
          <c:order val="9"/>
          <c:tx>
            <c:strRef>
              <c:f>'6.5 (Contd.)'!$C$5</c:f>
              <c:strCache>
                <c:ptCount val="1"/>
                <c:pt idx="0">
                  <c:v>Lubricants</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'6.5'!$A$6:$A$15</c15:sqref>
                  </c15:fullRef>
                </c:ext>
              </c:extLst>
              <c:f>'6.5'!$A$11:$A$15</c:f>
              <c:strCache>
                <c:ptCount val="5"/>
                <c:pt idx="0">
                  <c:v>2015-16</c:v>
                </c:pt>
                <c:pt idx="1">
                  <c:v>2016-17</c:v>
                </c:pt>
                <c:pt idx="2">
                  <c:v>2017-18</c:v>
                </c:pt>
                <c:pt idx="3">
                  <c:v>2018-19 </c:v>
                </c:pt>
                <c:pt idx="4">
                  <c:v>2019-20 (P)</c:v>
                </c:pt>
              </c:strCache>
            </c:strRef>
          </c:cat>
          <c:val>
            <c:numRef>
              <c:extLst>
                <c:ext xmlns:c15="http://schemas.microsoft.com/office/drawing/2012/chart" uri="{02D57815-91ED-43cb-92C2-25804820EDAC}">
                  <c15:fullRef>
                    <c15:sqref>'6.5 (Contd.)'!$C$8:$C$17</c15:sqref>
                  </c15:fullRef>
                </c:ext>
              </c:extLst>
              <c:f>'6.5 (Contd.)'!$C$13:$C$17</c:f>
              <c:numCache>
                <c:formatCode>0.00</c:formatCode>
                <c:ptCount val="5"/>
                <c:pt idx="0">
                  <c:v>3.5711606000000002</c:v>
                </c:pt>
                <c:pt idx="1">
                  <c:v>3.4700676399999999</c:v>
                </c:pt>
                <c:pt idx="2">
                  <c:v>3.8838833120000005</c:v>
                </c:pt>
                <c:pt idx="3">
                  <c:v>3.6679544489999989</c:v>
                </c:pt>
                <c:pt idx="4">
                  <c:v>3.8333877818922595</c:v>
                </c:pt>
              </c:numCache>
            </c:numRef>
          </c:val>
          <c:extLst>
            <c:ext xmlns:c16="http://schemas.microsoft.com/office/drawing/2014/chart" uri="{C3380CC4-5D6E-409C-BE32-E72D297353CC}">
              <c16:uniqueId val="{00000004-9C69-4470-8DDE-083CF2B59693}"/>
            </c:ext>
          </c:extLst>
        </c:ser>
        <c:ser>
          <c:idx val="10"/>
          <c:order val="10"/>
          <c:tx>
            <c:strRef>
              <c:f>'6.5 (Contd.)'!$D$5</c:f>
              <c:strCache>
                <c:ptCount val="1"/>
                <c:pt idx="0">
                  <c:v>Bitumen</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'6.5'!$A$6:$A$15</c15:sqref>
                  </c15:fullRef>
                </c:ext>
              </c:extLst>
              <c:f>'6.5'!$A$11:$A$15</c:f>
              <c:strCache>
                <c:ptCount val="5"/>
                <c:pt idx="0">
                  <c:v>2015-16</c:v>
                </c:pt>
                <c:pt idx="1">
                  <c:v>2016-17</c:v>
                </c:pt>
                <c:pt idx="2">
                  <c:v>2017-18</c:v>
                </c:pt>
                <c:pt idx="3">
                  <c:v>2018-19 </c:v>
                </c:pt>
                <c:pt idx="4">
                  <c:v>2019-20 (P)</c:v>
                </c:pt>
              </c:strCache>
            </c:strRef>
          </c:cat>
          <c:val>
            <c:numRef>
              <c:extLst>
                <c:ext xmlns:c15="http://schemas.microsoft.com/office/drawing/2012/chart" uri="{02D57815-91ED-43cb-92C2-25804820EDAC}">
                  <c15:fullRef>
                    <c15:sqref>'6.5 (Contd.)'!$D$8:$D$17</c15:sqref>
                  </c15:fullRef>
                </c:ext>
              </c:extLst>
              <c:f>'6.5 (Contd.)'!$D$13:$D$17</c:f>
              <c:numCache>
                <c:formatCode>0.00</c:formatCode>
                <c:ptCount val="5"/>
                <c:pt idx="0">
                  <c:v>5.9379387530000001</c:v>
                </c:pt>
                <c:pt idx="1">
                  <c:v>5.9355010179999983</c:v>
                </c:pt>
                <c:pt idx="2">
                  <c:v>6.0858515270000009</c:v>
                </c:pt>
                <c:pt idx="3">
                  <c:v>6.7076970449999997</c:v>
                </c:pt>
                <c:pt idx="4">
                  <c:v>6.7203688499999981</c:v>
                </c:pt>
              </c:numCache>
            </c:numRef>
          </c:val>
          <c:extLst>
            <c:ext xmlns:c16="http://schemas.microsoft.com/office/drawing/2014/chart" uri="{C3380CC4-5D6E-409C-BE32-E72D297353CC}">
              <c16:uniqueId val="{00000005-9C69-4470-8DDE-083CF2B59693}"/>
            </c:ext>
          </c:extLst>
        </c:ser>
        <c:dLbls>
          <c:showLegendKey val="0"/>
          <c:showVal val="0"/>
          <c:showCatName val="0"/>
          <c:showSerName val="0"/>
          <c:showPercent val="0"/>
          <c:showBubbleSize val="0"/>
        </c:dLbls>
        <c:gapWidth val="402"/>
        <c:overlap val="4"/>
        <c:axId val="635813776"/>
        <c:axId val="635794224"/>
        <c:extLst/>
      </c:barChart>
      <c:catAx>
        <c:axId val="63581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794224"/>
        <c:crosses val="autoZero"/>
        <c:auto val="1"/>
        <c:lblAlgn val="ctr"/>
        <c:lblOffset val="100"/>
        <c:noMultiLvlLbl val="0"/>
      </c:catAx>
      <c:valAx>
        <c:axId val="635794224"/>
        <c:scaling>
          <c:orientation val="minMax"/>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813776"/>
        <c:crosses val="autoZero"/>
        <c:crossBetween val="between"/>
      </c:valAx>
      <c:spPr>
        <a:noFill/>
        <a:ln>
          <a:noFill/>
        </a:ln>
        <a:effectLst/>
      </c:spPr>
    </c:plotArea>
    <c:legend>
      <c:legendPos val="b"/>
      <c:layout>
        <c:manualLayout>
          <c:xMode val="edge"/>
          <c:yMode val="edge"/>
          <c:x val="6.8240366350602585E-2"/>
          <c:y val="0.74182059018323643"/>
          <c:w val="0.87553127931080688"/>
          <c:h val="0.183413054676576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238125</xdr:colOff>
      <xdr:row>44</xdr:row>
      <xdr:rowOff>85724</xdr:rowOff>
    </xdr:from>
    <xdr:to>
      <xdr:col>7</xdr:col>
      <xdr:colOff>0</xdr:colOff>
      <xdr:row>45</xdr:row>
      <xdr:rowOff>114299</xdr:rowOff>
    </xdr:to>
    <xdr:sp macro="" textlink="">
      <xdr:nvSpPr>
        <xdr:cNvPr id="3" name="TextBox 2"/>
        <xdr:cNvSpPr txBox="1"/>
      </xdr:nvSpPr>
      <xdr:spPr>
        <a:xfrm>
          <a:off x="4781550" y="10648949"/>
          <a:ext cx="29432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IN"/>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228600</xdr:colOff>
      <xdr:row>2</xdr:row>
      <xdr:rowOff>76199</xdr:rowOff>
    </xdr:from>
    <xdr:to>
      <xdr:col>46</xdr:col>
      <xdr:colOff>476250</xdr:colOff>
      <xdr:row>17</xdr:row>
      <xdr:rowOff>333374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5"/>
  <sheetViews>
    <sheetView showGridLines="0" zoomScaleNormal="100" workbookViewId="0">
      <selection activeCell="A14" sqref="A14"/>
    </sheetView>
  </sheetViews>
  <sheetFormatPr defaultRowHeight="15"/>
  <cols>
    <col min="1" max="1" width="14.5703125" style="11" customWidth="1"/>
    <col min="2" max="2" width="11.28515625" style="11" customWidth="1"/>
    <col min="3" max="3" width="11.85546875" style="11" customWidth="1"/>
    <col min="4" max="4" width="12.28515625" style="11" customWidth="1"/>
    <col min="5" max="5" width="13.5703125" style="11" customWidth="1"/>
    <col min="6" max="6" width="14.85546875" style="11" customWidth="1"/>
  </cols>
  <sheetData>
    <row r="1" spans="1:6">
      <c r="A1" s="256" t="s">
        <v>40</v>
      </c>
      <c r="B1" s="256"/>
      <c r="C1" s="256"/>
      <c r="D1" s="256"/>
      <c r="E1" s="256"/>
      <c r="F1" s="256"/>
    </row>
    <row r="2" spans="1:6" ht="26.25" customHeight="1">
      <c r="A2" s="257"/>
      <c r="B2" s="257"/>
      <c r="C2" s="257"/>
      <c r="D2" s="257"/>
      <c r="E2" s="257"/>
      <c r="F2" s="257"/>
    </row>
    <row r="3" spans="1:6" ht="38.25" customHeight="1">
      <c r="A3" s="17" t="s">
        <v>4</v>
      </c>
      <c r="B3" s="260" t="s">
        <v>38</v>
      </c>
      <c r="C3" s="258" t="s">
        <v>39</v>
      </c>
      <c r="D3" s="258" t="s">
        <v>41</v>
      </c>
      <c r="E3" s="258" t="s">
        <v>42</v>
      </c>
      <c r="F3" s="258" t="s">
        <v>43</v>
      </c>
    </row>
    <row r="4" spans="1:6" ht="14.25" customHeight="1">
      <c r="A4" s="18"/>
      <c r="B4" s="261"/>
      <c r="C4" s="259"/>
      <c r="D4" s="259"/>
      <c r="E4" s="259"/>
      <c r="F4" s="259"/>
    </row>
    <row r="5" spans="1:6">
      <c r="A5" s="15">
        <v>1</v>
      </c>
      <c r="B5" s="15">
        <v>2</v>
      </c>
      <c r="C5" s="15">
        <v>3</v>
      </c>
      <c r="D5" s="7">
        <v>4</v>
      </c>
      <c r="E5" s="7">
        <v>5</v>
      </c>
      <c r="F5" s="25">
        <v>6</v>
      </c>
    </row>
    <row r="6" spans="1:6">
      <c r="A6" s="19" t="s">
        <v>7</v>
      </c>
      <c r="B6" s="246">
        <v>593.00400000000002</v>
      </c>
      <c r="C6" s="231">
        <v>37.685000000000002</v>
      </c>
      <c r="D6" s="232">
        <v>196.98916600000001</v>
      </c>
      <c r="E6" s="233">
        <v>64.159289999999999</v>
      </c>
      <c r="F6" s="234">
        <v>694392</v>
      </c>
    </row>
    <row r="7" spans="1:6">
      <c r="A7" s="19" t="s">
        <v>8</v>
      </c>
      <c r="B7" s="246">
        <v>638.73399999999992</v>
      </c>
      <c r="C7" s="231">
        <v>41.883000000000003</v>
      </c>
      <c r="D7" s="235">
        <v>204.12139200000001</v>
      </c>
      <c r="E7" s="230">
        <v>64.450333624870211</v>
      </c>
      <c r="F7" s="234">
        <v>785194</v>
      </c>
    </row>
    <row r="8" spans="1:6">
      <c r="A8" s="19" t="s">
        <v>1</v>
      </c>
      <c r="B8" s="246">
        <v>713.38900000000001</v>
      </c>
      <c r="C8" s="231">
        <v>46.313000000000002</v>
      </c>
      <c r="D8" s="235">
        <v>219.21177900000001</v>
      </c>
      <c r="E8" s="230">
        <v>57.364236539818521</v>
      </c>
      <c r="F8" s="234">
        <v>824300.99</v>
      </c>
    </row>
    <row r="9" spans="1:6">
      <c r="A9" s="19" t="s">
        <v>2</v>
      </c>
      <c r="B9" s="246">
        <v>739.34199999999998</v>
      </c>
      <c r="C9" s="231">
        <v>43.896999999999998</v>
      </c>
      <c r="D9" s="236">
        <v>222.496782</v>
      </c>
      <c r="E9" s="230">
        <v>52.371576802276927</v>
      </c>
      <c r="F9" s="234">
        <v>874208.56649999996</v>
      </c>
    </row>
    <row r="10" spans="1:6">
      <c r="A10" s="19" t="s">
        <v>3</v>
      </c>
      <c r="B10" s="246">
        <v>822.13099999999997</v>
      </c>
      <c r="C10" s="231">
        <v>46.954000000000001</v>
      </c>
      <c r="D10" s="236">
        <v>223.24177799999998</v>
      </c>
      <c r="E10" s="230">
        <v>51.295725815330343</v>
      </c>
      <c r="F10" s="234">
        <v>948521.82086134888</v>
      </c>
    </row>
    <row r="11" spans="1:6">
      <c r="A11" s="19" t="s">
        <v>20</v>
      </c>
      <c r="B11" s="246">
        <v>836.72700000000009</v>
      </c>
      <c r="C11" s="231">
        <v>42.210999999999999</v>
      </c>
      <c r="D11" s="236">
        <v>232.86479800000001</v>
      </c>
      <c r="E11" s="230">
        <v>52.512855157442303</v>
      </c>
      <c r="F11" s="234">
        <v>1001190.6843085778</v>
      </c>
    </row>
    <row r="12" spans="1:6">
      <c r="A12" s="19" t="s">
        <v>23</v>
      </c>
      <c r="B12" s="246">
        <v>837.22</v>
      </c>
      <c r="C12" s="231">
        <v>43.155000000000001</v>
      </c>
      <c r="D12" s="236">
        <v>245.36211900000001</v>
      </c>
      <c r="E12" s="230">
        <v>55.697917618968177</v>
      </c>
      <c r="F12" s="234">
        <v>1061182.6382699322</v>
      </c>
    </row>
    <row r="13" spans="1:6">
      <c r="A13" s="19" t="s">
        <v>24</v>
      </c>
      <c r="B13" s="246">
        <v>898.49599999999998</v>
      </c>
      <c r="C13" s="231">
        <v>46.317</v>
      </c>
      <c r="D13" s="236">
        <v>251.93481899999998</v>
      </c>
      <c r="E13" s="230">
        <v>59.170156466006873</v>
      </c>
      <c r="F13" s="234">
        <v>1123426.8571124</v>
      </c>
    </row>
    <row r="14" spans="1:6">
      <c r="A14" s="19" t="s">
        <v>28</v>
      </c>
      <c r="B14" s="237">
        <v>968.36300000000006</v>
      </c>
      <c r="C14" s="237">
        <v>45.81</v>
      </c>
      <c r="D14" s="236">
        <v>257.20486</v>
      </c>
      <c r="E14" s="230">
        <v>60.7943879625495</v>
      </c>
      <c r="F14" s="234">
        <v>1209971.6328604156</v>
      </c>
    </row>
    <row r="15" spans="1:6" s="5" customFormat="1">
      <c r="A15" s="20" t="s">
        <v>31</v>
      </c>
      <c r="B15" s="238">
        <v>942.63</v>
      </c>
      <c r="C15" s="239">
        <v>42.267000000000003</v>
      </c>
      <c r="D15" s="240">
        <v>254.38593865542504</v>
      </c>
      <c r="E15" s="241">
        <v>64.143212009067128</v>
      </c>
      <c r="F15" s="234">
        <v>1291493.7521220769</v>
      </c>
    </row>
    <row r="16" spans="1:6" ht="38.25">
      <c r="A16" s="21" t="s">
        <v>34</v>
      </c>
      <c r="B16" s="242">
        <f>+(B15-B14)/B14*100</f>
        <v>-2.6573712543746568</v>
      </c>
      <c r="C16" s="242">
        <f>+(C15-C14)/C14*100</f>
        <v>-7.7341191879502267</v>
      </c>
      <c r="D16" s="242">
        <f>+(D15-D14)/D14*100</f>
        <v>-1.0959829237188443</v>
      </c>
      <c r="E16" s="242">
        <f>+(E15-E14)/E14*100</f>
        <v>5.5084427341888311</v>
      </c>
      <c r="F16" s="242">
        <f>+(F15-F14)/F14*100</f>
        <v>6.737523182170821</v>
      </c>
    </row>
    <row r="17" spans="1:6" ht="35.25" customHeight="1">
      <c r="A17" s="22" t="s">
        <v>181</v>
      </c>
      <c r="B17" s="243">
        <f>((B15/B6)^(1/9)-1)*100</f>
        <v>5.2845992245882378</v>
      </c>
      <c r="C17" s="243">
        <f>((C15/C6)^(1/9)-1)*100</f>
        <v>1.2831009121780035</v>
      </c>
      <c r="D17" s="243">
        <f>((D15/D6)^(1/9)-1)*100</f>
        <v>2.8818993485944411</v>
      </c>
      <c r="E17" s="244">
        <f>((E15/E6)^(1/9)-1)*100</f>
        <v>-2.7846979516743531E-3</v>
      </c>
      <c r="F17" s="243">
        <f>((F15/F6)^(1/9)-1)*100</f>
        <v>7.1378845071608188</v>
      </c>
    </row>
    <row r="18" spans="1:6">
      <c r="A18" s="12" t="s">
        <v>19</v>
      </c>
      <c r="B18" s="10"/>
      <c r="D18" s="10"/>
      <c r="E18" s="10"/>
      <c r="F18" s="10"/>
    </row>
    <row r="19" spans="1:6" s="11" customFormat="1" ht="27.75" customHeight="1">
      <c r="A19" s="255" t="s">
        <v>22</v>
      </c>
      <c r="B19" s="255"/>
      <c r="C19" s="255"/>
      <c r="D19" s="255"/>
      <c r="E19" s="255"/>
      <c r="F19" s="255"/>
    </row>
    <row r="20" spans="1:6" ht="16.5">
      <c r="A20" s="12" t="s">
        <v>12</v>
      </c>
      <c r="B20" s="12"/>
      <c r="C20" s="12"/>
      <c r="F20" s="12"/>
    </row>
    <row r="21" spans="1:6">
      <c r="A21" s="23" t="s">
        <v>16</v>
      </c>
      <c r="B21" s="12"/>
      <c r="C21" s="12"/>
      <c r="D21" s="12"/>
      <c r="F21" s="12"/>
    </row>
    <row r="22" spans="1:6">
      <c r="A22" s="23" t="s">
        <v>17</v>
      </c>
      <c r="B22" s="12"/>
      <c r="C22" s="12"/>
      <c r="D22" s="12"/>
      <c r="F22" s="12"/>
    </row>
    <row r="23" spans="1:6">
      <c r="A23" s="16" t="s">
        <v>9</v>
      </c>
      <c r="B23" s="16" t="s">
        <v>11</v>
      </c>
      <c r="C23" s="16"/>
      <c r="D23" s="13"/>
      <c r="E23" s="12"/>
      <c r="F23" s="12"/>
    </row>
    <row r="24" spans="1:6">
      <c r="A24" s="16"/>
      <c r="B24" s="16" t="s">
        <v>10</v>
      </c>
      <c r="C24" s="16"/>
      <c r="D24" s="13"/>
      <c r="E24" s="12"/>
      <c r="F24" s="12"/>
    </row>
    <row r="25" spans="1:6">
      <c r="A25" s="16"/>
      <c r="B25" s="16" t="s">
        <v>13</v>
      </c>
      <c r="C25" s="16"/>
      <c r="D25" s="13"/>
      <c r="E25" s="14"/>
      <c r="F25" s="14"/>
    </row>
  </sheetData>
  <mergeCells count="7">
    <mergeCell ref="A19:F19"/>
    <mergeCell ref="A1:F2"/>
    <mergeCell ref="E3:E4"/>
    <mergeCell ref="F3:F4"/>
    <mergeCell ref="D3:D4"/>
    <mergeCell ref="B3:B4"/>
    <mergeCell ref="C3:C4"/>
  </mergeCells>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0"/>
  <sheetViews>
    <sheetView showGridLines="0" workbookViewId="0">
      <selection activeCell="N20" sqref="N20"/>
    </sheetView>
  </sheetViews>
  <sheetFormatPr defaultRowHeight="15"/>
  <cols>
    <col min="1" max="1" width="23.5703125" style="11" customWidth="1"/>
    <col min="2" max="9" width="9.42578125" style="11" customWidth="1"/>
    <col min="10" max="10" width="10.28515625" style="11" customWidth="1"/>
    <col min="11" max="11" width="9.42578125" style="11" customWidth="1"/>
    <col min="12" max="16384" width="9.140625" style="11"/>
  </cols>
  <sheetData>
    <row r="1" spans="1:13" ht="34.5" customHeight="1">
      <c r="A1" s="298" t="s">
        <v>196</v>
      </c>
      <c r="B1" s="298"/>
      <c r="C1" s="298"/>
      <c r="D1" s="298"/>
      <c r="E1" s="298"/>
      <c r="F1" s="298"/>
      <c r="G1" s="298"/>
      <c r="H1" s="298"/>
      <c r="I1" s="298"/>
      <c r="J1" s="298"/>
      <c r="K1" s="298"/>
    </row>
    <row r="2" spans="1:13">
      <c r="A2" s="299" t="s">
        <v>114</v>
      </c>
      <c r="B2" s="299"/>
      <c r="C2" s="299"/>
      <c r="D2" s="299"/>
      <c r="E2" s="299"/>
      <c r="F2" s="299"/>
      <c r="G2" s="299"/>
      <c r="H2" s="299"/>
      <c r="I2" s="299"/>
      <c r="J2" s="299"/>
      <c r="K2" s="299"/>
    </row>
    <row r="3" spans="1:13" ht="42.75" customHeight="1">
      <c r="A3" s="135" t="s">
        <v>115</v>
      </c>
      <c r="B3" s="134" t="s">
        <v>8</v>
      </c>
      <c r="C3" s="134" t="s">
        <v>1</v>
      </c>
      <c r="D3" s="134" t="s">
        <v>2</v>
      </c>
      <c r="E3" s="134" t="s">
        <v>3</v>
      </c>
      <c r="F3" s="134" t="s">
        <v>20</v>
      </c>
      <c r="G3" s="134" t="s">
        <v>23</v>
      </c>
      <c r="H3" s="134" t="s">
        <v>24</v>
      </c>
      <c r="I3" s="136" t="s">
        <v>35</v>
      </c>
      <c r="J3" s="136" t="s">
        <v>31</v>
      </c>
      <c r="K3" s="137" t="s">
        <v>116</v>
      </c>
      <c r="M3" s="171"/>
    </row>
    <row r="4" spans="1:13">
      <c r="A4" s="138">
        <v>1</v>
      </c>
      <c r="B4" s="139">
        <v>2</v>
      </c>
      <c r="C4" s="139">
        <v>3</v>
      </c>
      <c r="D4" s="140">
        <v>4</v>
      </c>
      <c r="E4" s="138">
        <v>5</v>
      </c>
      <c r="F4" s="139">
        <v>6</v>
      </c>
      <c r="G4" s="139">
        <v>7</v>
      </c>
      <c r="H4" s="140">
        <v>8</v>
      </c>
      <c r="I4" s="138">
        <v>9</v>
      </c>
      <c r="J4" s="139">
        <v>10</v>
      </c>
      <c r="K4" s="139">
        <v>11</v>
      </c>
    </row>
    <row r="5" spans="1:13" ht="18.75" customHeight="1">
      <c r="A5" s="300" t="s">
        <v>117</v>
      </c>
      <c r="B5" s="301"/>
      <c r="C5" s="301"/>
      <c r="D5" s="301"/>
      <c r="E5" s="301"/>
      <c r="F5" s="301"/>
      <c r="G5" s="301"/>
      <c r="H5" s="301"/>
      <c r="I5" s="301"/>
      <c r="J5" s="301"/>
      <c r="K5" s="301"/>
    </row>
    <row r="6" spans="1:13">
      <c r="A6" s="141" t="s">
        <v>106</v>
      </c>
      <c r="B6" s="142">
        <v>22628.457999999999</v>
      </c>
      <c r="C6" s="142">
        <v>16077.709000000001</v>
      </c>
      <c r="D6" s="142">
        <v>11283.618</v>
      </c>
      <c r="E6" s="142">
        <v>10719.803</v>
      </c>
      <c r="F6" s="142">
        <v>10889.201500000001</v>
      </c>
      <c r="G6" s="142">
        <v>11616.255299131541</v>
      </c>
      <c r="H6" s="142">
        <v>12028.28779022547</v>
      </c>
      <c r="I6" s="142">
        <v>12004.699451589197</v>
      </c>
      <c r="J6" s="143">
        <v>11028.891886182126</v>
      </c>
      <c r="K6" s="169">
        <f>J6/J$21%</f>
        <v>17.194134617835317</v>
      </c>
    </row>
    <row r="7" spans="1:13">
      <c r="A7" s="144" t="s">
        <v>118</v>
      </c>
      <c r="B7" s="145">
        <v>313.363</v>
      </c>
      <c r="C7" s="145">
        <v>269.39800000000002</v>
      </c>
      <c r="D7" s="145">
        <v>260.72399999999999</v>
      </c>
      <c r="E7" s="145">
        <v>532.80499999999995</v>
      </c>
      <c r="F7" s="145">
        <v>545.32330000000002</v>
      </c>
      <c r="G7" s="145">
        <v>793.65318070674812</v>
      </c>
      <c r="H7" s="145">
        <v>999.26611345202264</v>
      </c>
      <c r="I7" s="145">
        <v>1086.0677710044381</v>
      </c>
      <c r="J7" s="146">
        <v>700.59190542263934</v>
      </c>
      <c r="K7" s="152">
        <f t="shared" ref="K7:K13" si="0">J7/J$21%</f>
        <v>1.092228635325992</v>
      </c>
    </row>
    <row r="8" spans="1:13">
      <c r="A8" s="170" t="s">
        <v>142</v>
      </c>
      <c r="B8" s="145">
        <v>5598.7880000000005</v>
      </c>
      <c r="C8" s="145">
        <v>5779.8370000000004</v>
      </c>
      <c r="D8" s="145">
        <v>5904.085</v>
      </c>
      <c r="E8" s="145">
        <v>5415.5049999999992</v>
      </c>
      <c r="F8" s="145">
        <v>5463.8993000000009</v>
      </c>
      <c r="G8" s="145">
        <v>7350.0014197566798</v>
      </c>
      <c r="H8" s="145">
        <v>8585.3662449038802</v>
      </c>
      <c r="I8" s="145">
        <v>9205.9959762953113</v>
      </c>
      <c r="J8" s="146">
        <v>10883.062281372444</v>
      </c>
      <c r="K8" s="152">
        <f t="shared" si="0"/>
        <v>16.966785045254515</v>
      </c>
    </row>
    <row r="9" spans="1:13">
      <c r="A9" s="144" t="s">
        <v>119</v>
      </c>
      <c r="B9" s="145">
        <v>175.27500000000001</v>
      </c>
      <c r="C9" s="145">
        <v>182.101</v>
      </c>
      <c r="D9" s="145">
        <v>195.71800000000002</v>
      </c>
      <c r="E9" s="145">
        <v>180.482</v>
      </c>
      <c r="F9" s="145">
        <v>187.05799999999999</v>
      </c>
      <c r="G9" s="145">
        <v>183.32499999999999</v>
      </c>
      <c r="H9" s="145">
        <v>188.55566900000002</v>
      </c>
      <c r="I9" s="145">
        <v>192.26451200000002</v>
      </c>
      <c r="J9" s="146">
        <v>200.27182300000001</v>
      </c>
      <c r="K9" s="152">
        <f t="shared" si="0"/>
        <v>0.31222544570734068</v>
      </c>
    </row>
    <row r="10" spans="1:13" ht="25.5">
      <c r="A10" s="147" t="s">
        <v>120</v>
      </c>
      <c r="B10" s="145">
        <v>385.14</v>
      </c>
      <c r="C10" s="145">
        <v>386.82</v>
      </c>
      <c r="D10" s="145">
        <v>372.13</v>
      </c>
      <c r="E10" s="145">
        <v>350.56999999999994</v>
      </c>
      <c r="F10" s="145">
        <v>409.60440000000006</v>
      </c>
      <c r="G10" s="145">
        <v>471.18495990499991</v>
      </c>
      <c r="H10" s="145">
        <v>495.61928324365925</v>
      </c>
      <c r="I10" s="145">
        <v>540.70799999999997</v>
      </c>
      <c r="J10" s="146">
        <v>525.10699999999997</v>
      </c>
      <c r="K10" s="152">
        <f t="shared" si="0"/>
        <v>0.8186462012633926</v>
      </c>
    </row>
    <row r="11" spans="1:13">
      <c r="A11" s="144" t="s">
        <v>121</v>
      </c>
      <c r="B11" s="145">
        <f>2420.23+1836.64</f>
        <v>4256.87</v>
      </c>
      <c r="C11" s="145">
        <f>1829.08+2061.46</f>
        <v>3890.54</v>
      </c>
      <c r="D11" s="145">
        <f>1643.65+2324.825</f>
        <v>3968.4749999999999</v>
      </c>
      <c r="E11" s="145">
        <v>4575.2020000000002</v>
      </c>
      <c r="F11" s="145">
        <v>5076.5444000000007</v>
      </c>
      <c r="G11" s="145">
        <v>5374.3675740769122</v>
      </c>
      <c r="H11" s="145">
        <v>6533.1301352839419</v>
      </c>
      <c r="I11" s="145">
        <v>7047.3119549386856</v>
      </c>
      <c r="J11" s="146">
        <v>7785.9875653675499</v>
      </c>
      <c r="K11" s="152">
        <f t="shared" si="0"/>
        <v>12.138419681078629</v>
      </c>
    </row>
    <row r="12" spans="1:13">
      <c r="A12" s="148" t="s">
        <v>122</v>
      </c>
      <c r="B12" s="145">
        <f>9239-B9</f>
        <v>9063.7250000000004</v>
      </c>
      <c r="C12" s="145">
        <f>8158-C9</f>
        <v>7975.8990000000003</v>
      </c>
      <c r="D12" s="145">
        <f>7675.02-D9</f>
        <v>7479.3020000000006</v>
      </c>
      <c r="E12" s="145">
        <f>6121.71-E9</f>
        <v>5941.2280000000001</v>
      </c>
      <c r="F12" s="145">
        <v>4111.652</v>
      </c>
      <c r="G12" s="145">
        <v>3745.9550000000004</v>
      </c>
      <c r="H12" s="145">
        <v>3226.4879691960678</v>
      </c>
      <c r="I12" s="145">
        <v>3392.600798982075</v>
      </c>
      <c r="J12" s="146">
        <v>4209</v>
      </c>
      <c r="K12" s="158">
        <f t="shared" si="0"/>
        <v>6.561866174165683</v>
      </c>
    </row>
    <row r="13" spans="1:13" ht="21" customHeight="1">
      <c r="A13" s="150" t="s">
        <v>123</v>
      </c>
      <c r="B13" s="151">
        <f>B6+B7+B8+B9+B10+B11+B12</f>
        <v>42421.618999999999</v>
      </c>
      <c r="C13" s="151">
        <f t="shared" ref="C13:J13" si="1">C6+C7+C8+C9+C10+C11+C12</f>
        <v>34562.303999999996</v>
      </c>
      <c r="D13" s="151">
        <f t="shared" si="1"/>
        <v>29464.052</v>
      </c>
      <c r="E13" s="151">
        <f t="shared" si="1"/>
        <v>27715.594999999998</v>
      </c>
      <c r="F13" s="151">
        <f t="shared" si="1"/>
        <v>26683.282900000006</v>
      </c>
      <c r="G13" s="151">
        <f t="shared" si="1"/>
        <v>29534.742433576881</v>
      </c>
      <c r="H13" s="151">
        <f t="shared" si="1"/>
        <v>32056.713205305045</v>
      </c>
      <c r="I13" s="151">
        <f t="shared" si="1"/>
        <v>33469.64846480971</v>
      </c>
      <c r="J13" s="151">
        <f t="shared" si="1"/>
        <v>35332.912461344757</v>
      </c>
      <c r="K13" s="151">
        <f t="shared" si="0"/>
        <v>55.084305800630865</v>
      </c>
    </row>
    <row r="14" spans="1:13" ht="25.5" customHeight="1">
      <c r="A14" s="302" t="s">
        <v>124</v>
      </c>
      <c r="B14" s="303"/>
      <c r="C14" s="303"/>
      <c r="D14" s="303"/>
      <c r="E14" s="303"/>
      <c r="F14" s="303"/>
      <c r="G14" s="303"/>
      <c r="H14" s="303"/>
      <c r="I14" s="303"/>
      <c r="J14" s="303"/>
      <c r="K14" s="303"/>
    </row>
    <row r="15" spans="1:13">
      <c r="A15" s="153" t="s">
        <v>125</v>
      </c>
      <c r="B15" s="142">
        <v>14003.324000000001</v>
      </c>
      <c r="C15" s="142">
        <v>14733.293000000003</v>
      </c>
      <c r="D15" s="142">
        <v>15869.371999999996</v>
      </c>
      <c r="E15" s="142">
        <v>15190.300999999999</v>
      </c>
      <c r="F15" s="142">
        <v>16134.6065</v>
      </c>
      <c r="G15" s="142">
        <v>15428.566401901604</v>
      </c>
      <c r="H15" s="142">
        <v>14675.673891848401</v>
      </c>
      <c r="I15" s="142">
        <v>14986.906789147581</v>
      </c>
      <c r="J15" s="143">
        <v>16115.2368906021</v>
      </c>
      <c r="K15" s="169">
        <f>J15/J$21%</f>
        <v>25.123788985770702</v>
      </c>
    </row>
    <row r="16" spans="1:13">
      <c r="A16" s="154" t="s">
        <v>126</v>
      </c>
      <c r="B16" s="145">
        <f>1040.255+817.43</f>
        <v>1857.6849999999999</v>
      </c>
      <c r="C16" s="145">
        <f>1148.93+1337.034</f>
        <v>2485.9639999999999</v>
      </c>
      <c r="D16" s="145">
        <f>1162.59+1242.074</f>
        <v>2404.6639999999998</v>
      </c>
      <c r="E16" s="145">
        <v>2889.6711000000005</v>
      </c>
      <c r="F16" s="145">
        <v>3733.2828000000004</v>
      </c>
      <c r="G16" s="145">
        <v>4170.0577540921349</v>
      </c>
      <c r="H16" s="145">
        <v>4024.1336347954166</v>
      </c>
      <c r="I16" s="145">
        <v>3386.0861318751404</v>
      </c>
      <c r="J16" s="146">
        <v>3568.788583561749</v>
      </c>
      <c r="K16" s="152">
        <f t="shared" ref="K16:K21" si="2">J16/J$21%</f>
        <v>5.5637712257596821</v>
      </c>
    </row>
    <row r="17" spans="1:11">
      <c r="A17" s="154" t="s">
        <v>127</v>
      </c>
      <c r="B17" s="145">
        <v>1333.26</v>
      </c>
      <c r="C17" s="145">
        <v>1105.74</v>
      </c>
      <c r="D17" s="145">
        <v>274.12399999999997</v>
      </c>
      <c r="E17" s="145">
        <v>153.59200000000001</v>
      </c>
      <c r="F17" s="145">
        <v>544.32400000000007</v>
      </c>
      <c r="G17" s="145">
        <v>885.04525731356273</v>
      </c>
      <c r="H17" s="145">
        <v>1278.0026398059949</v>
      </c>
      <c r="I17" s="145">
        <v>1123.7099900000001</v>
      </c>
      <c r="J17" s="146">
        <v>567</v>
      </c>
      <c r="K17" s="152">
        <f t="shared" si="2"/>
        <v>0.88395773835874136</v>
      </c>
    </row>
    <row r="18" spans="1:11">
      <c r="A18" s="155" t="s">
        <v>128</v>
      </c>
      <c r="B18" s="149">
        <v>1068.3699999999999</v>
      </c>
      <c r="C18" s="149">
        <v>1027.29</v>
      </c>
      <c r="D18" s="149">
        <v>981.85</v>
      </c>
      <c r="E18" s="149">
        <v>1005.4799999999999</v>
      </c>
      <c r="F18" s="149">
        <v>754.18740000000025</v>
      </c>
      <c r="G18" s="149">
        <v>759.45360433700012</v>
      </c>
      <c r="H18" s="149">
        <v>797.87206149107965</v>
      </c>
      <c r="I18" s="149">
        <v>873.52</v>
      </c>
      <c r="J18" s="156">
        <v>857.94</v>
      </c>
      <c r="K18" s="158">
        <f t="shared" si="2"/>
        <v>1.3375356297134016</v>
      </c>
    </row>
    <row r="19" spans="1:11" ht="19.5" customHeight="1">
      <c r="A19" s="157" t="s">
        <v>129</v>
      </c>
      <c r="B19" s="158">
        <f>B15+B16+B17+B18</f>
        <v>18262.638999999999</v>
      </c>
      <c r="C19" s="158">
        <f t="shared" ref="C19:J19" si="3">C15+C16+C17+C18</f>
        <v>19352.287000000008</v>
      </c>
      <c r="D19" s="158">
        <f t="shared" si="3"/>
        <v>19530.009999999995</v>
      </c>
      <c r="E19" s="158">
        <f t="shared" si="3"/>
        <v>19239.044099999999</v>
      </c>
      <c r="F19" s="158">
        <f t="shared" si="3"/>
        <v>21166.400699999998</v>
      </c>
      <c r="G19" s="158">
        <f t="shared" si="3"/>
        <v>21243.123017644302</v>
      </c>
      <c r="H19" s="158">
        <f t="shared" si="3"/>
        <v>20775.682227940892</v>
      </c>
      <c r="I19" s="158">
        <f t="shared" si="3"/>
        <v>20370.22291102272</v>
      </c>
      <c r="J19" s="158">
        <f t="shared" si="3"/>
        <v>21108.965474163848</v>
      </c>
      <c r="K19" s="152">
        <f t="shared" si="2"/>
        <v>32.909053579602528</v>
      </c>
    </row>
    <row r="20" spans="1:11" ht="26.25" customHeight="1">
      <c r="A20" s="159" t="s">
        <v>130</v>
      </c>
      <c r="B20" s="151">
        <f>B19+B13</f>
        <v>60684.258000000002</v>
      </c>
      <c r="C20" s="151">
        <f t="shared" ref="C20:J20" si="4">C19+C13</f>
        <v>53914.591</v>
      </c>
      <c r="D20" s="151">
        <f t="shared" si="4"/>
        <v>48994.061999999991</v>
      </c>
      <c r="E20" s="151">
        <f t="shared" si="4"/>
        <v>46954.6391</v>
      </c>
      <c r="F20" s="151">
        <f t="shared" si="4"/>
        <v>47849.683600000004</v>
      </c>
      <c r="G20" s="151">
        <f t="shared" si="4"/>
        <v>50777.86545122118</v>
      </c>
      <c r="H20" s="151">
        <f t="shared" si="4"/>
        <v>52832.39543324594</v>
      </c>
      <c r="I20" s="151">
        <f t="shared" si="4"/>
        <v>53839.87137583243</v>
      </c>
      <c r="J20" s="151">
        <f t="shared" si="4"/>
        <v>56441.877935508601</v>
      </c>
      <c r="K20" s="169">
        <f t="shared" si="2"/>
        <v>87.993359380233386</v>
      </c>
    </row>
    <row r="21" spans="1:11" ht="21.75" customHeight="1">
      <c r="A21" s="159" t="s">
        <v>131</v>
      </c>
      <c r="B21" s="151">
        <v>64450.668007970191</v>
      </c>
      <c r="C21" s="151">
        <v>57367.34130964872</v>
      </c>
      <c r="D21" s="151">
        <v>52374.855103331531</v>
      </c>
      <c r="E21" s="151">
        <v>51299.751209354887</v>
      </c>
      <c r="F21" s="151">
        <v>52517.440864367221</v>
      </c>
      <c r="G21" s="151">
        <v>55696.899851865768</v>
      </c>
      <c r="H21" s="151">
        <v>59170.156370921497</v>
      </c>
      <c r="I21" s="151">
        <v>60798.366055429884</v>
      </c>
      <c r="J21" s="151">
        <v>64143.338012149543</v>
      </c>
      <c r="K21" s="169">
        <f t="shared" si="2"/>
        <v>100</v>
      </c>
    </row>
    <row r="22" spans="1:11" ht="26.25" customHeight="1">
      <c r="A22" s="160" t="s">
        <v>140</v>
      </c>
      <c r="B22" s="161">
        <f>B20/366</f>
        <v>165.80398360655738</v>
      </c>
      <c r="C22" s="161">
        <f>C21/365</f>
        <v>157.17079810862663</v>
      </c>
      <c r="D22" s="161">
        <f t="shared" ref="D22:I22" si="5">D21/365</f>
        <v>143.49275370775763</v>
      </c>
      <c r="E22" s="161">
        <f t="shared" si="5"/>
        <v>140.54726358727368</v>
      </c>
      <c r="F22" s="161">
        <f>F21/366</f>
        <v>143.49027558570279</v>
      </c>
      <c r="G22" s="161">
        <f t="shared" si="5"/>
        <v>152.59424616949525</v>
      </c>
      <c r="H22" s="161">
        <f t="shared" si="5"/>
        <v>162.11001745457943</v>
      </c>
      <c r="I22" s="161">
        <f t="shared" si="5"/>
        <v>166.57086590528735</v>
      </c>
      <c r="J22" s="161">
        <f>J21/366</f>
        <v>175.25502189111896</v>
      </c>
      <c r="K22" s="162" t="s">
        <v>66</v>
      </c>
    </row>
    <row r="23" spans="1:11">
      <c r="A23" s="163" t="s">
        <v>132</v>
      </c>
      <c r="B23" s="164"/>
      <c r="C23" s="164"/>
      <c r="E23" s="164" t="s">
        <v>133</v>
      </c>
      <c r="I23" s="164"/>
      <c r="J23" s="164"/>
      <c r="K23" s="165"/>
    </row>
    <row r="24" spans="1:11">
      <c r="A24" s="164" t="s">
        <v>141</v>
      </c>
      <c r="B24" s="164"/>
      <c r="C24" s="164"/>
      <c r="D24" s="164"/>
      <c r="G24" s="164"/>
      <c r="I24" s="164"/>
      <c r="J24" s="164"/>
      <c r="K24" s="165"/>
    </row>
    <row r="25" spans="1:11">
      <c r="A25" s="297" t="s">
        <v>134</v>
      </c>
      <c r="B25" s="297"/>
      <c r="C25" s="297"/>
      <c r="D25" s="297"/>
      <c r="E25" s="297"/>
      <c r="F25" s="297"/>
      <c r="G25" s="297"/>
      <c r="H25" s="297"/>
      <c r="I25" s="297"/>
      <c r="J25" s="297"/>
      <c r="K25" s="297"/>
    </row>
    <row r="26" spans="1:11">
      <c r="A26" s="297" t="s">
        <v>135</v>
      </c>
      <c r="B26" s="297"/>
      <c r="C26" s="297"/>
      <c r="D26" s="297"/>
      <c r="E26" s="297"/>
      <c r="F26" s="297"/>
      <c r="G26" s="297"/>
      <c r="H26" s="297"/>
      <c r="I26" s="297"/>
      <c r="J26" s="297"/>
      <c r="K26" s="297"/>
    </row>
    <row r="27" spans="1:11">
      <c r="A27" s="296" t="s">
        <v>136</v>
      </c>
      <c r="B27" s="296"/>
      <c r="C27" s="296"/>
      <c r="D27" s="296"/>
      <c r="E27" s="296"/>
      <c r="F27" s="296"/>
      <c r="G27" s="296"/>
      <c r="H27" s="296"/>
      <c r="I27" s="296"/>
      <c r="J27" s="296"/>
      <c r="K27" s="296"/>
    </row>
    <row r="28" spans="1:11" ht="24.75" customHeight="1">
      <c r="A28" s="297" t="s">
        <v>137</v>
      </c>
      <c r="B28" s="297"/>
      <c r="C28" s="297"/>
      <c r="D28" s="297"/>
      <c r="E28" s="297"/>
      <c r="F28" s="297"/>
      <c r="G28" s="297"/>
      <c r="H28" s="297"/>
      <c r="I28" s="297"/>
      <c r="J28" s="297"/>
      <c r="K28" s="297"/>
    </row>
    <row r="29" spans="1:11">
      <c r="A29" s="248" t="s">
        <v>138</v>
      </c>
      <c r="B29" s="164"/>
      <c r="C29" s="164"/>
      <c r="D29" s="164"/>
      <c r="E29" s="164"/>
      <c r="F29" s="164"/>
      <c r="G29" s="164" t="s">
        <v>139</v>
      </c>
      <c r="H29" s="164"/>
      <c r="I29" s="164"/>
      <c r="J29" s="164"/>
      <c r="K29" s="166"/>
    </row>
    <row r="30" spans="1:11">
      <c r="A30" s="167"/>
      <c r="B30" s="167"/>
      <c r="C30" s="168"/>
      <c r="D30" s="167"/>
      <c r="E30" s="167"/>
      <c r="F30" s="167"/>
      <c r="G30" s="167"/>
      <c r="H30" s="167"/>
      <c r="I30" s="167"/>
      <c r="J30" s="167"/>
    </row>
  </sheetData>
  <mergeCells count="8">
    <mergeCell ref="A27:K27"/>
    <mergeCell ref="A28:K28"/>
    <mergeCell ref="A1:K1"/>
    <mergeCell ref="A2:K2"/>
    <mergeCell ref="A5:K5"/>
    <mergeCell ref="A14:K14"/>
    <mergeCell ref="A25:K25"/>
    <mergeCell ref="A26:K26"/>
  </mergeCells>
  <pageMargins left="0.7" right="0.7" top="0.75" bottom="0.75" header="0.3" footer="0.3"/>
  <pageSetup orientation="portrait" r:id="rId1"/>
  <ignoredErrors>
    <ignoredError sqref="F2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22"/>
  <sheetViews>
    <sheetView showGridLines="0" workbookViewId="0">
      <selection activeCell="O21" sqref="O21"/>
    </sheetView>
  </sheetViews>
  <sheetFormatPr defaultRowHeight="15"/>
  <cols>
    <col min="1" max="1" width="14.28515625" style="11" customWidth="1"/>
    <col min="2" max="2" width="9.140625" style="11"/>
    <col min="3" max="3" width="10.140625" style="11" customWidth="1"/>
    <col min="4" max="4" width="9.140625" style="11"/>
    <col min="5" max="5" width="10.140625" style="11" customWidth="1"/>
    <col min="6" max="7" width="9.140625" style="11"/>
    <col min="8" max="8" width="9.85546875" style="11" customWidth="1"/>
    <col min="9" max="16384" width="9.140625" style="11"/>
  </cols>
  <sheetData>
    <row r="1" spans="1:22" ht="23.25" customHeight="1">
      <c r="A1" s="304" t="s">
        <v>197</v>
      </c>
      <c r="B1" s="304"/>
      <c r="C1" s="304"/>
      <c r="D1" s="304"/>
      <c r="E1" s="304"/>
      <c r="F1" s="304"/>
      <c r="G1" s="304"/>
      <c r="H1" s="304"/>
    </row>
    <row r="2" spans="1:22" ht="6.75" customHeight="1">
      <c r="A2" s="304"/>
      <c r="B2" s="304"/>
      <c r="C2" s="304"/>
      <c r="D2" s="304"/>
      <c r="E2" s="304"/>
      <c r="F2" s="304"/>
      <c r="G2" s="304"/>
      <c r="H2" s="304"/>
    </row>
    <row r="3" spans="1:22" ht="16.5">
      <c r="A3" s="305" t="s">
        <v>143</v>
      </c>
      <c r="B3" s="305"/>
      <c r="C3" s="305"/>
      <c r="D3" s="305"/>
      <c r="E3" s="305"/>
      <c r="F3" s="305"/>
      <c r="G3" s="305"/>
      <c r="H3" s="305"/>
    </row>
    <row r="4" spans="1:22">
      <c r="A4" s="306" t="s">
        <v>4</v>
      </c>
      <c r="B4" s="309" t="s">
        <v>76</v>
      </c>
      <c r="C4" s="309" t="s">
        <v>88</v>
      </c>
      <c r="D4" s="309" t="s">
        <v>89</v>
      </c>
      <c r="E4" s="309" t="s">
        <v>144</v>
      </c>
      <c r="F4" s="258" t="s">
        <v>145</v>
      </c>
      <c r="G4" s="309" t="s">
        <v>108</v>
      </c>
      <c r="H4" s="309" t="s">
        <v>0</v>
      </c>
    </row>
    <row r="5" spans="1:22">
      <c r="A5" s="307"/>
      <c r="B5" s="310"/>
      <c r="C5" s="310"/>
      <c r="D5" s="310"/>
      <c r="E5" s="310"/>
      <c r="F5" s="293"/>
      <c r="G5" s="310"/>
      <c r="H5" s="310"/>
      <c r="O5" s="4"/>
      <c r="P5" s="4"/>
      <c r="Q5" s="4"/>
      <c r="R5" s="4"/>
      <c r="S5" s="4"/>
      <c r="T5" s="4"/>
      <c r="U5" s="4"/>
      <c r="V5" s="4"/>
    </row>
    <row r="6" spans="1:22">
      <c r="A6" s="308"/>
      <c r="B6" s="311"/>
      <c r="C6" s="311"/>
      <c r="D6" s="311"/>
      <c r="E6" s="311"/>
      <c r="F6" s="259"/>
      <c r="G6" s="311"/>
      <c r="H6" s="311"/>
      <c r="O6" s="172"/>
      <c r="P6" s="172"/>
      <c r="Q6" s="172"/>
      <c r="R6" s="172"/>
      <c r="S6" s="172"/>
      <c r="T6" s="172"/>
      <c r="U6" s="172"/>
      <c r="V6" s="4"/>
    </row>
    <row r="7" spans="1:22">
      <c r="A7" s="173">
        <v>1</v>
      </c>
      <c r="B7" s="15">
        <v>2</v>
      </c>
      <c r="C7" s="15">
        <v>3</v>
      </c>
      <c r="D7" s="15">
        <v>4</v>
      </c>
      <c r="E7" s="15">
        <v>5</v>
      </c>
      <c r="F7" s="15">
        <v>6</v>
      </c>
      <c r="G7" s="15">
        <v>7</v>
      </c>
      <c r="H7" s="15" t="s">
        <v>146</v>
      </c>
      <c r="O7" s="172"/>
      <c r="P7" s="172"/>
      <c r="Q7" s="172"/>
      <c r="R7" s="172"/>
      <c r="S7" s="172"/>
      <c r="T7" s="172"/>
      <c r="U7" s="172"/>
      <c r="V7" s="4"/>
    </row>
    <row r="8" spans="1:22">
      <c r="A8" s="174" t="s">
        <v>7</v>
      </c>
      <c r="B8" s="198">
        <v>272589</v>
      </c>
      <c r="C8" s="198">
        <v>131967</v>
      </c>
      <c r="D8" s="198">
        <v>169326</v>
      </c>
      <c r="E8" s="198">
        <v>67289</v>
      </c>
      <c r="F8" s="198">
        <v>14003</v>
      </c>
      <c r="G8" s="198">
        <v>39218</v>
      </c>
      <c r="H8" s="198">
        <v>694392</v>
      </c>
      <c r="I8" s="175"/>
      <c r="J8" s="172"/>
      <c r="K8" s="172"/>
      <c r="L8" s="172"/>
      <c r="M8" s="172"/>
      <c r="N8" s="172"/>
      <c r="O8" s="172"/>
    </row>
    <row r="9" spans="1:22">
      <c r="A9" s="174" t="s">
        <v>8</v>
      </c>
      <c r="B9" s="198">
        <v>352291</v>
      </c>
      <c r="C9" s="198">
        <v>140960</v>
      </c>
      <c r="D9" s="198">
        <v>171104</v>
      </c>
      <c r="E9" s="198">
        <v>65381</v>
      </c>
      <c r="F9" s="198">
        <v>14206</v>
      </c>
      <c r="G9" s="198">
        <v>41252</v>
      </c>
      <c r="H9" s="198">
        <v>785194</v>
      </c>
      <c r="I9" s="175"/>
      <c r="J9" s="172"/>
      <c r="K9" s="172"/>
      <c r="L9" s="172"/>
      <c r="M9" s="172"/>
      <c r="N9" s="172"/>
      <c r="O9" s="172"/>
    </row>
    <row r="10" spans="1:22">
      <c r="A10" s="174" t="s">
        <v>1</v>
      </c>
      <c r="B10" s="198">
        <v>365988.99</v>
      </c>
      <c r="C10" s="198">
        <v>147462</v>
      </c>
      <c r="D10" s="198">
        <v>183700</v>
      </c>
      <c r="E10" s="198">
        <v>72794</v>
      </c>
      <c r="F10" s="198">
        <v>14100</v>
      </c>
      <c r="G10" s="198">
        <v>40256</v>
      </c>
      <c r="H10" s="198">
        <v>824300.99</v>
      </c>
      <c r="I10" s="175"/>
      <c r="J10" s="172"/>
      <c r="K10" s="172"/>
      <c r="L10" s="172"/>
      <c r="M10" s="172"/>
      <c r="N10" s="172"/>
      <c r="O10" s="172"/>
    </row>
    <row r="11" spans="1:22">
      <c r="A11" s="174" t="s">
        <v>2</v>
      </c>
      <c r="B11" s="198">
        <v>384418.2794984277</v>
      </c>
      <c r="C11" s="198">
        <v>152744.32570698805</v>
      </c>
      <c r="D11" s="198">
        <v>199841.78628002029</v>
      </c>
      <c r="E11" s="198">
        <v>74246.963235908886</v>
      </c>
      <c r="F11" s="198">
        <v>15539.688867794344</v>
      </c>
      <c r="G11" s="198">
        <v>47417.52291086076</v>
      </c>
      <c r="H11" s="198">
        <v>874208.56649999996</v>
      </c>
      <c r="I11" s="175"/>
      <c r="J11" s="172"/>
      <c r="K11" s="172"/>
      <c r="L11" s="172"/>
      <c r="M11" s="172"/>
      <c r="N11" s="172"/>
      <c r="O11" s="172"/>
    </row>
    <row r="12" spans="1:22">
      <c r="A12" s="174" t="s">
        <v>3</v>
      </c>
      <c r="B12" s="198">
        <v>418346.16624665877</v>
      </c>
      <c r="C12" s="198">
        <v>168913.45725601545</v>
      </c>
      <c r="D12" s="198">
        <v>217404.72234963675</v>
      </c>
      <c r="E12" s="198">
        <v>78391.386457368004</v>
      </c>
      <c r="F12" s="198">
        <v>16176.94</v>
      </c>
      <c r="G12" s="198">
        <v>49289</v>
      </c>
      <c r="H12" s="198">
        <v>948521.67230967898</v>
      </c>
      <c r="I12" s="175"/>
      <c r="J12" s="172"/>
      <c r="K12" s="172"/>
      <c r="L12" s="172"/>
      <c r="M12" s="172"/>
      <c r="N12" s="172"/>
      <c r="O12" s="172"/>
    </row>
    <row r="13" spans="1:22">
      <c r="A13" s="174" t="s">
        <v>20</v>
      </c>
      <c r="B13" s="198">
        <v>423522.94024919398</v>
      </c>
      <c r="C13" s="198">
        <v>173185.36546184841</v>
      </c>
      <c r="D13" s="198">
        <v>238875.69057048182</v>
      </c>
      <c r="E13" s="198">
        <v>86036.571008999075</v>
      </c>
      <c r="F13" s="198">
        <v>16594.330000000002</v>
      </c>
      <c r="G13" s="198">
        <v>62975.787018054529</v>
      </c>
      <c r="H13" s="198">
        <v>1001190.6843085778</v>
      </c>
      <c r="I13" s="175"/>
      <c r="J13" s="172"/>
      <c r="K13" s="172"/>
      <c r="L13" s="172"/>
      <c r="M13" s="172"/>
      <c r="N13" s="172"/>
      <c r="O13" s="172"/>
    </row>
    <row r="14" spans="1:22">
      <c r="A14" s="174" t="s">
        <v>23</v>
      </c>
      <c r="B14" s="198">
        <v>440205.5156759005</v>
      </c>
      <c r="C14" s="198">
        <v>191150.88740685093</v>
      </c>
      <c r="D14" s="198">
        <v>255826.00848008768</v>
      </c>
      <c r="E14" s="198">
        <v>89824.931384403026</v>
      </c>
      <c r="F14" s="198">
        <v>15682.75</v>
      </c>
      <c r="G14" s="198">
        <v>68492.545322690057</v>
      </c>
      <c r="H14" s="198">
        <v>1061182.6382699322</v>
      </c>
      <c r="I14" s="175"/>
      <c r="J14" s="172"/>
      <c r="K14" s="172"/>
      <c r="L14" s="172"/>
      <c r="M14" s="172"/>
      <c r="N14" s="172"/>
      <c r="O14" s="172"/>
    </row>
    <row r="15" spans="1:22">
      <c r="A15" s="174" t="s">
        <v>24</v>
      </c>
      <c r="B15" s="198">
        <v>468613.29972439917</v>
      </c>
      <c r="C15" s="198">
        <v>199246.85426496182</v>
      </c>
      <c r="D15" s="198">
        <v>273545.02135137003</v>
      </c>
      <c r="E15" s="198">
        <v>93754.853788208915</v>
      </c>
      <c r="F15" s="198">
        <v>17432.671444986998</v>
      </c>
      <c r="G15" s="198">
        <v>70834.156538470328</v>
      </c>
      <c r="H15" s="198">
        <v>1123426.8571123974</v>
      </c>
      <c r="I15" s="175"/>
      <c r="J15" s="172"/>
      <c r="K15" s="172"/>
      <c r="L15" s="172"/>
      <c r="M15" s="172"/>
      <c r="N15" s="172"/>
      <c r="O15" s="172"/>
    </row>
    <row r="16" spans="1:22">
      <c r="A16" s="174" t="s">
        <v>28</v>
      </c>
      <c r="B16" s="198">
        <v>519196.29106775671</v>
      </c>
      <c r="C16" s="198">
        <v>213409.1803170233</v>
      </c>
      <c r="D16" s="198">
        <v>288243.11205487652</v>
      </c>
      <c r="E16" s="198">
        <v>98227.645142089241</v>
      </c>
      <c r="F16" s="198">
        <v>18837.4290478</v>
      </c>
      <c r="G16" s="198">
        <v>72057.975230869837</v>
      </c>
      <c r="H16" s="198">
        <v>1209971.6328604156</v>
      </c>
      <c r="I16" s="175"/>
      <c r="J16" s="172"/>
      <c r="K16" s="172"/>
      <c r="L16" s="172"/>
      <c r="M16" s="172"/>
      <c r="N16" s="172"/>
      <c r="O16" s="172"/>
    </row>
    <row r="17" spans="1:12">
      <c r="A17" s="176" t="s">
        <v>31</v>
      </c>
      <c r="B17" s="198">
        <v>551362.41076658887</v>
      </c>
      <c r="C17" s="198">
        <v>228172.28172102131</v>
      </c>
      <c r="D17" s="198">
        <v>310151.13312597305</v>
      </c>
      <c r="E17" s="198">
        <v>103883.05121234799</v>
      </c>
      <c r="F17" s="198">
        <v>19576.531725799374</v>
      </c>
      <c r="G17" s="198">
        <v>78348.34357034626</v>
      </c>
      <c r="H17" s="198">
        <v>1291493.75212208</v>
      </c>
      <c r="I17" s="175"/>
      <c r="J17" s="172"/>
      <c r="L17" s="97"/>
    </row>
    <row r="18" spans="1:12" ht="38.25" customHeight="1">
      <c r="A18" s="229" t="s">
        <v>147</v>
      </c>
      <c r="B18" s="8">
        <f>B17/$H$17*100</f>
        <v>42.691837251294011</v>
      </c>
      <c r="C18" s="8">
        <f t="shared" ref="C18:H18" si="0">C17/$H$17*100</f>
        <v>17.667315954576377</v>
      </c>
      <c r="D18" s="8">
        <f t="shared" si="0"/>
        <v>24.014915489630308</v>
      </c>
      <c r="E18" s="8">
        <f t="shared" si="0"/>
        <v>8.0436355996036077</v>
      </c>
      <c r="F18" s="8">
        <f t="shared" si="0"/>
        <v>1.5158053760331995</v>
      </c>
      <c r="G18" s="8">
        <f t="shared" si="0"/>
        <v>6.0664903288622565</v>
      </c>
      <c r="H18" s="8">
        <f t="shared" si="0"/>
        <v>100</v>
      </c>
      <c r="J18" s="39"/>
    </row>
    <row r="19" spans="1:12" ht="40.5" customHeight="1">
      <c r="A19" s="229" t="s">
        <v>32</v>
      </c>
      <c r="B19" s="8">
        <f>+(B17-B16)/B16*100</f>
        <v>6.1953677736566082</v>
      </c>
      <c r="C19" s="8">
        <f t="shared" ref="C19:H19" si="1">+(C17-C16)/C16*100</f>
        <v>6.9177442985663253</v>
      </c>
      <c r="D19" s="8">
        <f t="shared" si="1"/>
        <v>7.6005358514605632</v>
      </c>
      <c r="E19" s="8">
        <f t="shared" si="1"/>
        <v>5.7574484882316277</v>
      </c>
      <c r="F19" s="8">
        <f t="shared" si="1"/>
        <v>3.9235857298992318</v>
      </c>
      <c r="G19" s="8">
        <f t="shared" si="1"/>
        <v>8.7295935242732323</v>
      </c>
      <c r="H19" s="8">
        <f t="shared" si="1"/>
        <v>6.7375231821710706</v>
      </c>
    </row>
    <row r="20" spans="1:12" ht="32.25" customHeight="1">
      <c r="A20" s="229" t="s">
        <v>33</v>
      </c>
      <c r="B20" s="9">
        <f>((B17/B8)^(1/9)-1)*100</f>
        <v>8.1414259885530971</v>
      </c>
      <c r="C20" s="9">
        <f t="shared" ref="C20:H20" si="2">((C17/C8)^(1/9)-1)*100</f>
        <v>6.2727573797714209</v>
      </c>
      <c r="D20" s="9">
        <f t="shared" si="2"/>
        <v>6.956091666885067</v>
      </c>
      <c r="E20" s="9">
        <f t="shared" si="2"/>
        <v>4.9435194243313108</v>
      </c>
      <c r="F20" s="9">
        <f t="shared" si="2"/>
        <v>3.7930552376556959</v>
      </c>
      <c r="G20" s="9">
        <f t="shared" si="2"/>
        <v>7.992555838930393</v>
      </c>
      <c r="H20" s="9">
        <f t="shared" si="2"/>
        <v>7.1378845071608632</v>
      </c>
    </row>
    <row r="21" spans="1:12">
      <c r="A21" s="12" t="s">
        <v>19</v>
      </c>
      <c r="B21" s="12"/>
      <c r="C21" s="12"/>
      <c r="D21" s="10"/>
      <c r="E21" s="10"/>
      <c r="F21" s="10"/>
      <c r="G21" s="10"/>
      <c r="H21" s="10"/>
    </row>
    <row r="22" spans="1:12">
      <c r="A22" s="16" t="s">
        <v>148</v>
      </c>
      <c r="B22" s="12"/>
      <c r="C22" s="12"/>
      <c r="D22" s="12"/>
      <c r="E22" s="12"/>
      <c r="F22" s="12"/>
      <c r="G22" s="12"/>
      <c r="H22" s="12"/>
    </row>
  </sheetData>
  <mergeCells count="10">
    <mergeCell ref="A1:H2"/>
    <mergeCell ref="A3:H3"/>
    <mergeCell ref="A4:A6"/>
    <mergeCell ref="B4:B6"/>
    <mergeCell ref="C4:C6"/>
    <mergeCell ref="D4:D6"/>
    <mergeCell ref="E4:E6"/>
    <mergeCell ref="F4:F6"/>
    <mergeCell ref="G4:G6"/>
    <mergeCell ref="H4:H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68"/>
  <sheetViews>
    <sheetView showGridLines="0" tabSelected="1" workbookViewId="0">
      <selection activeCell="I12" sqref="I12"/>
    </sheetView>
  </sheetViews>
  <sheetFormatPr defaultRowHeight="15"/>
  <cols>
    <col min="1" max="1" width="17.28515625" style="11" customWidth="1"/>
    <col min="2" max="2" width="12" style="11" customWidth="1"/>
    <col min="3" max="3" width="13.85546875" style="11" customWidth="1"/>
    <col min="4" max="4" width="11.7109375" style="11" customWidth="1"/>
    <col min="5" max="5" width="12.28515625" style="11" customWidth="1"/>
    <col min="6" max="6" width="11.5703125" style="11" customWidth="1"/>
    <col min="7" max="7" width="11.140625" style="11" customWidth="1"/>
    <col min="8" max="8" width="9.140625" style="11"/>
    <col min="9" max="9" width="9.5703125" style="11" bestFit="1" customWidth="1"/>
    <col min="10" max="13" width="9.140625" style="11"/>
    <col min="14" max="14" width="12.140625" style="11" customWidth="1"/>
    <col min="15" max="15" width="10.28515625" style="11" customWidth="1"/>
    <col min="16" max="16" width="11.5703125" style="11" customWidth="1"/>
    <col min="17" max="16384" width="9.140625" style="11"/>
  </cols>
  <sheetData>
    <row r="1" spans="1:18">
      <c r="A1" s="267" t="s">
        <v>198</v>
      </c>
      <c r="B1" s="267"/>
      <c r="C1" s="267"/>
      <c r="D1" s="267"/>
      <c r="E1" s="267"/>
      <c r="F1" s="267"/>
      <c r="G1" s="267"/>
    </row>
    <row r="2" spans="1:18" ht="24.75" customHeight="1">
      <c r="A2" s="267"/>
      <c r="B2" s="267"/>
      <c r="C2" s="267"/>
      <c r="D2" s="267"/>
      <c r="E2" s="267"/>
      <c r="F2" s="267"/>
      <c r="G2" s="267"/>
    </row>
    <row r="3" spans="1:18" ht="16.5">
      <c r="A3" s="305" t="s">
        <v>149</v>
      </c>
      <c r="B3" s="305"/>
      <c r="C3" s="305"/>
      <c r="D3" s="305"/>
      <c r="E3" s="305"/>
      <c r="F3" s="305"/>
      <c r="G3" s="305"/>
    </row>
    <row r="4" spans="1:18" ht="67.5" customHeight="1">
      <c r="A4" s="178" t="s">
        <v>4</v>
      </c>
      <c r="B4" s="132" t="s">
        <v>150</v>
      </c>
      <c r="C4" s="132" t="s">
        <v>151</v>
      </c>
      <c r="D4" s="132" t="s">
        <v>152</v>
      </c>
      <c r="E4" s="132" t="s">
        <v>153</v>
      </c>
      <c r="F4" s="132" t="s">
        <v>154</v>
      </c>
      <c r="G4" s="89" t="s">
        <v>155</v>
      </c>
      <c r="J4" s="24"/>
      <c r="K4" s="24"/>
      <c r="L4" s="24"/>
      <c r="M4" s="24"/>
      <c r="N4" s="179"/>
      <c r="O4" s="24"/>
      <c r="P4" s="179"/>
      <c r="Q4" s="179"/>
      <c r="R4" s="24"/>
    </row>
    <row r="5" spans="1:18">
      <c r="A5" s="15">
        <v>1</v>
      </c>
      <c r="B5" s="15">
        <v>2</v>
      </c>
      <c r="C5" s="15">
        <v>3</v>
      </c>
      <c r="D5" s="15" t="s">
        <v>156</v>
      </c>
      <c r="E5" s="15">
        <v>5</v>
      </c>
      <c r="F5" s="15" t="s">
        <v>157</v>
      </c>
      <c r="G5" s="180">
        <v>7</v>
      </c>
    </row>
    <row r="6" spans="1:18">
      <c r="A6" s="181" t="s">
        <v>7</v>
      </c>
      <c r="B6" s="198">
        <v>791796</v>
      </c>
      <c r="C6" s="198">
        <v>19839</v>
      </c>
      <c r="D6" s="198">
        <f>B6+C6</f>
        <v>811635</v>
      </c>
      <c r="E6" s="198">
        <v>617098</v>
      </c>
      <c r="F6" s="198">
        <f>D6-E6</f>
        <v>194537</v>
      </c>
      <c r="G6" s="215">
        <f t="shared" ref="G6:G15" si="0">F6/D6%</f>
        <v>23.968532653224663</v>
      </c>
      <c r="I6" s="172"/>
      <c r="J6" s="172"/>
      <c r="K6" s="172"/>
      <c r="L6" s="172"/>
      <c r="M6" s="172"/>
      <c r="N6" s="172"/>
      <c r="O6" s="172"/>
      <c r="P6" s="67"/>
      <c r="Q6" s="4"/>
    </row>
    <row r="7" spans="1:18">
      <c r="A7" s="181" t="s">
        <v>8</v>
      </c>
      <c r="B7" s="198">
        <v>865952</v>
      </c>
      <c r="C7" s="198">
        <v>15514</v>
      </c>
      <c r="D7" s="198">
        <f t="shared" ref="D7:D15" si="1">B7+C7</f>
        <v>881466</v>
      </c>
      <c r="E7" s="198">
        <v>673068</v>
      </c>
      <c r="F7" s="198">
        <f t="shared" ref="F7:F15" si="2">D7-E7</f>
        <v>208398</v>
      </c>
      <c r="G7" s="215">
        <f t="shared" si="0"/>
        <v>23.642205144611363</v>
      </c>
      <c r="I7" s="172"/>
      <c r="J7" s="172"/>
      <c r="K7" s="172"/>
      <c r="L7" s="172"/>
      <c r="M7" s="172"/>
      <c r="N7" s="172"/>
      <c r="O7" s="172"/>
      <c r="P7" s="67"/>
      <c r="Q7" s="4"/>
    </row>
    <row r="8" spans="1:18">
      <c r="A8" s="181" t="s">
        <v>1</v>
      </c>
      <c r="B8" s="198">
        <v>900380</v>
      </c>
      <c r="C8" s="198">
        <v>20849</v>
      </c>
      <c r="D8" s="198">
        <f t="shared" si="1"/>
        <v>921229</v>
      </c>
      <c r="E8" s="198">
        <v>708997</v>
      </c>
      <c r="F8" s="198">
        <f t="shared" si="2"/>
        <v>212232</v>
      </c>
      <c r="G8" s="215">
        <f t="shared" si="0"/>
        <v>23.037919996005336</v>
      </c>
      <c r="I8" s="172"/>
      <c r="J8" s="172"/>
      <c r="K8" s="172"/>
      <c r="L8" s="172"/>
      <c r="M8" s="172"/>
      <c r="N8" s="172"/>
      <c r="O8" s="172"/>
      <c r="P8" s="67"/>
      <c r="Q8" s="4"/>
    </row>
    <row r="9" spans="1:18">
      <c r="A9" s="181" t="s">
        <v>2</v>
      </c>
      <c r="B9" s="198">
        <v>956488</v>
      </c>
      <c r="C9" s="198">
        <v>17948</v>
      </c>
      <c r="D9" s="198">
        <f t="shared" si="1"/>
        <v>974436</v>
      </c>
      <c r="E9" s="198">
        <v>751908</v>
      </c>
      <c r="F9" s="198">
        <f t="shared" si="2"/>
        <v>222528</v>
      </c>
      <c r="G9" s="215">
        <f t="shared" si="0"/>
        <v>22.8365947070921</v>
      </c>
      <c r="I9" s="172"/>
      <c r="J9" s="172"/>
      <c r="K9" s="172"/>
      <c r="L9" s="172"/>
      <c r="M9" s="172"/>
      <c r="N9" s="172"/>
      <c r="O9" s="172"/>
      <c r="P9" s="67"/>
      <c r="Q9" s="4"/>
    </row>
    <row r="10" spans="1:18">
      <c r="A10" s="181" t="s">
        <v>3</v>
      </c>
      <c r="B10" s="198">
        <v>1040581.9200000002</v>
      </c>
      <c r="C10" s="198">
        <v>13773</v>
      </c>
      <c r="D10" s="198">
        <f t="shared" si="1"/>
        <v>1054354.9200000002</v>
      </c>
      <c r="E10" s="198">
        <v>814250.01086134883</v>
      </c>
      <c r="F10" s="198">
        <f t="shared" si="2"/>
        <v>240104.90913865133</v>
      </c>
      <c r="G10" s="215">
        <f t="shared" si="0"/>
        <v>22.772683522798122</v>
      </c>
      <c r="I10" s="172"/>
      <c r="J10" s="172"/>
      <c r="K10" s="172"/>
      <c r="L10" s="172"/>
      <c r="M10" s="172"/>
      <c r="N10" s="172"/>
      <c r="O10" s="172"/>
      <c r="P10" s="67"/>
      <c r="Q10" s="4"/>
    </row>
    <row r="11" spans="1:18">
      <c r="A11" s="181" t="s">
        <v>20</v>
      </c>
      <c r="B11" s="198">
        <v>1088281.5716494978</v>
      </c>
      <c r="C11" s="198">
        <v>15946.760000000002</v>
      </c>
      <c r="D11" s="198">
        <f t="shared" si="1"/>
        <v>1104228.3316494978</v>
      </c>
      <c r="E11" s="198">
        <v>863364.02431429015</v>
      </c>
      <c r="F11" s="198">
        <f t="shared" si="2"/>
        <v>240864.3073352077</v>
      </c>
      <c r="G11" s="215">
        <f t="shared" si="0"/>
        <v>21.812907750284243</v>
      </c>
      <c r="I11" s="172"/>
      <c r="J11" s="172"/>
      <c r="K11" s="172"/>
      <c r="L11" s="172"/>
      <c r="M11" s="172"/>
      <c r="N11" s="172"/>
      <c r="O11" s="172"/>
      <c r="P11" s="67"/>
      <c r="Q11" s="4"/>
    </row>
    <row r="12" spans="1:18">
      <c r="A12" s="181" t="s">
        <v>23</v>
      </c>
      <c r="B12" s="198">
        <v>1154313.5995521988</v>
      </c>
      <c r="C12" s="198">
        <v>8976.6196079999972</v>
      </c>
      <c r="D12" s="198">
        <f t="shared" si="1"/>
        <v>1163290.2191601987</v>
      </c>
      <c r="E12" s="198">
        <v>914092.73222564114</v>
      </c>
      <c r="F12" s="198">
        <f t="shared" si="2"/>
        <v>249197.48693455756</v>
      </c>
      <c r="G12" s="215">
        <f t="shared" si="0"/>
        <v>21.421781325940998</v>
      </c>
      <c r="I12" s="172"/>
      <c r="J12" s="172"/>
      <c r="K12" s="172"/>
      <c r="L12" s="172"/>
      <c r="M12" s="172"/>
      <c r="N12" s="172"/>
      <c r="O12" s="172"/>
      <c r="P12" s="67"/>
      <c r="Q12" s="4"/>
    </row>
    <row r="13" spans="1:18">
      <c r="A13" s="181" t="s">
        <v>24</v>
      </c>
      <c r="B13" s="198">
        <v>1221307.0633612699</v>
      </c>
      <c r="C13" s="198">
        <v>11198.234502679999</v>
      </c>
      <c r="D13" s="198">
        <f t="shared" si="1"/>
        <v>1232505.2978639498</v>
      </c>
      <c r="E13" s="198">
        <v>973130.78054095095</v>
      </c>
      <c r="F13" s="198">
        <f t="shared" si="2"/>
        <v>259374.51732299884</v>
      </c>
      <c r="G13" s="215">
        <f t="shared" si="0"/>
        <v>21.044495124890727</v>
      </c>
      <c r="I13" s="172"/>
      <c r="J13" s="172"/>
      <c r="K13" s="172"/>
      <c r="L13" s="172"/>
      <c r="M13" s="172"/>
      <c r="N13" s="172"/>
      <c r="O13" s="172"/>
      <c r="P13" s="67"/>
      <c r="Q13" s="4"/>
    </row>
    <row r="14" spans="1:18">
      <c r="A14" s="181" t="s">
        <v>28</v>
      </c>
      <c r="B14" s="198">
        <v>1288393.4694469674</v>
      </c>
      <c r="C14" s="198">
        <v>19291.101772975002</v>
      </c>
      <c r="D14" s="198">
        <f t="shared" si="1"/>
        <v>1307684.5712199423</v>
      </c>
      <c r="E14" s="198">
        <v>1037517.9267767584</v>
      </c>
      <c r="F14" s="198">
        <f t="shared" si="2"/>
        <v>270166.6444431839</v>
      </c>
      <c r="G14" s="215">
        <f t="shared" si="0"/>
        <v>20.659924448840499</v>
      </c>
      <c r="I14" s="172"/>
      <c r="J14" s="172"/>
      <c r="K14" s="172"/>
      <c r="L14" s="172"/>
      <c r="M14" s="172"/>
      <c r="N14" s="172"/>
      <c r="O14" s="172"/>
      <c r="P14" s="67"/>
      <c r="Q14" s="4"/>
    </row>
    <row r="15" spans="1:18">
      <c r="A15" s="182" t="s">
        <v>31</v>
      </c>
      <c r="B15" s="198">
        <v>1298621.4964078255</v>
      </c>
      <c r="C15" s="198">
        <v>12554.1186150268</v>
      </c>
      <c r="D15" s="198">
        <f t="shared" si="1"/>
        <v>1311175.6150228523</v>
      </c>
      <c r="E15" s="198">
        <v>1044648.44648331</v>
      </c>
      <c r="F15" s="198">
        <f t="shared" si="2"/>
        <v>266527.16853954236</v>
      </c>
      <c r="G15" s="215">
        <f t="shared" si="0"/>
        <v>20.327343300607151</v>
      </c>
      <c r="H15" s="97"/>
      <c r="I15" s="183"/>
      <c r="J15" s="172"/>
      <c r="K15" s="172"/>
      <c r="L15" s="172"/>
      <c r="M15" s="172"/>
      <c r="N15" s="172"/>
      <c r="O15" s="172"/>
      <c r="P15" s="67"/>
      <c r="Q15" s="4"/>
    </row>
    <row r="16" spans="1:18" ht="27" customHeight="1">
      <c r="A16" s="177" t="s">
        <v>32</v>
      </c>
      <c r="B16" s="8">
        <f t="shared" ref="B16:G16" si="3">((B15-B14)/B14)*100</f>
        <v>0.79385895717466215</v>
      </c>
      <c r="C16" s="8">
        <f t="shared" si="3"/>
        <v>-34.922749551744495</v>
      </c>
      <c r="D16" s="8">
        <f t="shared" si="3"/>
        <v>0.26696375255488519</v>
      </c>
      <c r="E16" s="8">
        <f t="shared" si="3"/>
        <v>0.68726713269464634</v>
      </c>
      <c r="F16" s="8">
        <f t="shared" si="3"/>
        <v>-1.3471225921107115</v>
      </c>
      <c r="G16" s="8">
        <f t="shared" si="3"/>
        <v>-1.6097887920979981</v>
      </c>
      <c r="I16" s="4"/>
      <c r="J16" s="4"/>
      <c r="K16" s="4"/>
      <c r="L16" s="4"/>
      <c r="M16" s="4"/>
      <c r="N16" s="4"/>
      <c r="O16" s="4"/>
      <c r="P16" s="4"/>
      <c r="Q16" s="4"/>
    </row>
    <row r="17" spans="1:7" ht="27" customHeight="1">
      <c r="A17" s="177" t="s">
        <v>33</v>
      </c>
      <c r="B17" s="9">
        <f>((B15/B6)^(1/9)-1)*100</f>
        <v>5.6511831447989769</v>
      </c>
      <c r="C17" s="9">
        <f t="shared" ref="C17:F17" si="4">((C15/C6)^(1/9)-1)*100</f>
        <v>-4.957359284950325</v>
      </c>
      <c r="D17" s="9">
        <f t="shared" si="4"/>
        <v>5.4737665344137598</v>
      </c>
      <c r="E17" s="9">
        <f t="shared" si="4"/>
        <v>6.0234129853969032</v>
      </c>
      <c r="F17" s="9">
        <f t="shared" si="4"/>
        <v>3.5602886769247943</v>
      </c>
      <c r="G17" s="9" t="s">
        <v>139</v>
      </c>
    </row>
    <row r="18" spans="1:7">
      <c r="A18" s="12" t="s">
        <v>19</v>
      </c>
      <c r="B18" s="10"/>
      <c r="C18" s="10"/>
      <c r="D18" s="10"/>
      <c r="E18" s="10"/>
      <c r="F18" s="10"/>
      <c r="G18" s="10"/>
    </row>
    <row r="19" spans="1:7">
      <c r="A19" s="16" t="s">
        <v>158</v>
      </c>
      <c r="B19" s="12"/>
      <c r="C19" s="12"/>
      <c r="D19" s="12"/>
      <c r="E19" s="184"/>
      <c r="F19" s="12"/>
    </row>
    <row r="22" spans="1:7">
      <c r="B22" s="97"/>
      <c r="C22" s="97"/>
      <c r="D22" s="97"/>
      <c r="E22" s="97"/>
      <c r="F22" s="97"/>
      <c r="G22" s="97"/>
    </row>
    <row r="23" spans="1:7">
      <c r="B23" s="97"/>
      <c r="C23" s="97"/>
      <c r="D23" s="97"/>
      <c r="E23" s="97"/>
      <c r="F23" s="97"/>
      <c r="G23" s="97"/>
    </row>
    <row r="24" spans="1:7">
      <c r="B24" s="97"/>
      <c r="C24" s="97"/>
      <c r="D24" s="97"/>
      <c r="E24" s="97"/>
      <c r="F24" s="97"/>
      <c r="G24" s="97"/>
    </row>
    <row r="25" spans="1:7">
      <c r="B25" s="97"/>
      <c r="C25" s="97"/>
      <c r="D25" s="97"/>
      <c r="E25" s="97"/>
      <c r="F25" s="97"/>
      <c r="G25" s="97"/>
    </row>
    <row r="26" spans="1:7">
      <c r="B26" s="97"/>
      <c r="C26" s="97"/>
      <c r="D26" s="97"/>
      <c r="E26" s="97"/>
      <c r="F26" s="97"/>
      <c r="G26" s="97"/>
    </row>
    <row r="27" spans="1:7">
      <c r="B27" s="97"/>
      <c r="C27" s="97"/>
      <c r="D27" s="97"/>
      <c r="E27" s="97"/>
      <c r="F27" s="97"/>
      <c r="G27" s="97"/>
    </row>
    <row r="28" spans="1:7">
      <c r="B28" s="97"/>
      <c r="C28" s="97"/>
      <c r="D28" s="97"/>
      <c r="E28" s="97"/>
      <c r="F28" s="97"/>
      <c r="G28" s="97"/>
    </row>
    <row r="29" spans="1:7">
      <c r="B29" s="97"/>
      <c r="C29" s="97"/>
      <c r="D29" s="97"/>
      <c r="E29" s="97"/>
      <c r="F29" s="97"/>
      <c r="G29" s="97"/>
    </row>
    <row r="30" spans="1:7">
      <c r="B30" s="97"/>
      <c r="C30" s="97"/>
      <c r="D30" s="97"/>
      <c r="E30" s="97"/>
      <c r="F30" s="97"/>
      <c r="G30" s="97"/>
    </row>
    <row r="31" spans="1:7">
      <c r="B31" s="97"/>
      <c r="C31" s="97"/>
      <c r="D31" s="97"/>
      <c r="E31" s="97"/>
      <c r="F31" s="97"/>
      <c r="G31" s="97"/>
    </row>
    <row r="32" spans="1:7">
      <c r="B32" s="97"/>
      <c r="C32" s="97"/>
      <c r="D32" s="97"/>
      <c r="E32" s="97"/>
      <c r="F32" s="97"/>
      <c r="G32" s="97"/>
    </row>
    <row r="33" spans="2:7">
      <c r="B33" s="97"/>
      <c r="C33" s="97"/>
      <c r="D33" s="97"/>
      <c r="E33" s="97"/>
      <c r="F33" s="97"/>
      <c r="G33" s="97"/>
    </row>
    <row r="34" spans="2:7">
      <c r="B34" s="97"/>
      <c r="C34" s="97"/>
      <c r="D34" s="97"/>
      <c r="E34" s="97"/>
      <c r="F34" s="97"/>
      <c r="G34" s="97"/>
    </row>
    <row r="35" spans="2:7">
      <c r="B35" s="97"/>
      <c r="C35" s="97"/>
      <c r="D35" s="97"/>
      <c r="E35" s="97"/>
      <c r="F35" s="97"/>
      <c r="G35" s="97"/>
    </row>
    <row r="36" spans="2:7">
      <c r="B36" s="97"/>
      <c r="C36" s="97"/>
      <c r="D36" s="97"/>
      <c r="E36" s="97"/>
      <c r="F36" s="97"/>
      <c r="G36" s="97"/>
    </row>
    <row r="37" spans="2:7">
      <c r="B37" s="97"/>
      <c r="C37" s="97"/>
      <c r="D37" s="97"/>
      <c r="E37" s="97"/>
      <c r="F37" s="97"/>
      <c r="G37" s="97"/>
    </row>
    <row r="38" spans="2:7">
      <c r="B38" s="97"/>
      <c r="C38" s="97"/>
      <c r="D38" s="97"/>
      <c r="E38" s="97"/>
      <c r="F38" s="97"/>
      <c r="G38" s="97"/>
    </row>
    <row r="39" spans="2:7">
      <c r="B39" s="97"/>
      <c r="C39" s="97"/>
      <c r="D39" s="97"/>
      <c r="E39" s="97"/>
      <c r="F39" s="97"/>
      <c r="G39" s="97"/>
    </row>
    <row r="40" spans="2:7">
      <c r="B40" s="97"/>
      <c r="C40" s="97"/>
      <c r="D40" s="97"/>
      <c r="E40" s="97"/>
      <c r="F40" s="97"/>
      <c r="G40" s="97"/>
    </row>
    <row r="41" spans="2:7">
      <c r="B41" s="97"/>
      <c r="C41" s="97"/>
      <c r="D41" s="97"/>
      <c r="E41" s="97"/>
      <c r="F41" s="97"/>
      <c r="G41" s="97"/>
    </row>
    <row r="42" spans="2:7">
      <c r="B42" s="97"/>
      <c r="C42" s="97"/>
      <c r="D42" s="97"/>
      <c r="E42" s="97"/>
      <c r="F42" s="97"/>
      <c r="G42" s="97"/>
    </row>
    <row r="43" spans="2:7">
      <c r="B43" s="97"/>
      <c r="C43" s="97"/>
      <c r="D43" s="97"/>
      <c r="E43" s="97"/>
      <c r="F43" s="97"/>
      <c r="G43" s="97"/>
    </row>
    <row r="44" spans="2:7">
      <c r="B44" s="97"/>
      <c r="C44" s="97"/>
      <c r="D44" s="97"/>
      <c r="E44" s="97"/>
      <c r="F44" s="97"/>
      <c r="G44" s="97"/>
    </row>
    <row r="45" spans="2:7">
      <c r="B45" s="97"/>
      <c r="C45" s="97"/>
      <c r="D45" s="97"/>
      <c r="E45" s="97"/>
      <c r="F45" s="97"/>
      <c r="G45" s="97"/>
    </row>
    <row r="46" spans="2:7">
      <c r="B46" s="97"/>
      <c r="C46" s="97"/>
      <c r="D46" s="97"/>
      <c r="E46" s="97"/>
      <c r="F46" s="97"/>
      <c r="G46" s="97"/>
    </row>
    <row r="47" spans="2:7">
      <c r="B47" s="97"/>
      <c r="C47" s="97"/>
      <c r="D47" s="97"/>
      <c r="E47" s="97"/>
      <c r="F47" s="97"/>
      <c r="G47" s="97"/>
    </row>
    <row r="48" spans="2:7">
      <c r="B48" s="97"/>
      <c r="C48" s="97"/>
      <c r="D48" s="97"/>
      <c r="E48" s="97"/>
      <c r="F48" s="97"/>
      <c r="G48" s="97"/>
    </row>
    <row r="49" spans="2:7">
      <c r="B49" s="97"/>
      <c r="C49" s="97"/>
      <c r="D49" s="97"/>
      <c r="E49" s="97"/>
      <c r="F49" s="97"/>
      <c r="G49" s="97"/>
    </row>
    <row r="50" spans="2:7">
      <c r="B50" s="97"/>
      <c r="C50" s="97"/>
      <c r="D50" s="97"/>
      <c r="E50" s="97"/>
      <c r="F50" s="97"/>
      <c r="G50" s="97"/>
    </row>
    <row r="51" spans="2:7">
      <c r="B51" s="97"/>
      <c r="C51" s="97"/>
      <c r="D51" s="97"/>
      <c r="E51" s="97"/>
      <c r="F51" s="97"/>
      <c r="G51" s="97"/>
    </row>
    <row r="52" spans="2:7">
      <c r="B52" s="97"/>
      <c r="C52" s="97"/>
      <c r="D52" s="97"/>
      <c r="E52" s="97"/>
      <c r="F52" s="97"/>
      <c r="G52" s="97"/>
    </row>
    <row r="53" spans="2:7">
      <c r="B53" s="97"/>
      <c r="C53" s="97"/>
      <c r="D53" s="97"/>
      <c r="E53" s="97"/>
      <c r="F53" s="97"/>
      <c r="G53" s="97"/>
    </row>
    <row r="54" spans="2:7">
      <c r="B54" s="97"/>
      <c r="C54" s="97"/>
      <c r="D54" s="97"/>
      <c r="E54" s="97"/>
      <c r="F54" s="97"/>
      <c r="G54" s="97"/>
    </row>
    <row r="55" spans="2:7">
      <c r="B55" s="97"/>
      <c r="C55" s="97"/>
      <c r="D55" s="97"/>
      <c r="E55" s="97"/>
      <c r="F55" s="97"/>
      <c r="G55" s="97"/>
    </row>
    <row r="56" spans="2:7">
      <c r="B56" s="97"/>
      <c r="C56" s="97"/>
      <c r="D56" s="97"/>
      <c r="E56" s="97"/>
      <c r="F56" s="97"/>
      <c r="G56" s="97"/>
    </row>
    <row r="57" spans="2:7">
      <c r="B57" s="97"/>
      <c r="C57" s="97"/>
      <c r="D57" s="97"/>
      <c r="E57" s="97"/>
      <c r="F57" s="97"/>
      <c r="G57" s="97"/>
    </row>
    <row r="58" spans="2:7">
      <c r="B58" s="97"/>
      <c r="C58" s="97"/>
      <c r="D58" s="97"/>
      <c r="E58" s="97"/>
      <c r="F58" s="97"/>
      <c r="G58" s="97"/>
    </row>
    <row r="59" spans="2:7">
      <c r="B59" s="97"/>
      <c r="C59" s="97"/>
      <c r="D59" s="97"/>
      <c r="E59" s="97"/>
      <c r="F59" s="97"/>
      <c r="G59" s="97"/>
    </row>
    <row r="60" spans="2:7">
      <c r="B60" s="97"/>
      <c r="C60" s="97"/>
      <c r="D60" s="97"/>
      <c r="E60" s="97"/>
      <c r="F60" s="97"/>
      <c r="G60" s="97"/>
    </row>
    <row r="61" spans="2:7">
      <c r="B61" s="97"/>
      <c r="C61" s="97"/>
      <c r="D61" s="97"/>
      <c r="E61" s="97"/>
      <c r="F61" s="97"/>
      <c r="G61" s="97"/>
    </row>
    <row r="62" spans="2:7">
      <c r="B62" s="97"/>
      <c r="C62" s="97"/>
      <c r="D62" s="97"/>
      <c r="E62" s="97"/>
      <c r="F62" s="97"/>
      <c r="G62" s="97"/>
    </row>
    <row r="63" spans="2:7">
      <c r="B63" s="97"/>
      <c r="C63" s="97"/>
      <c r="D63" s="97"/>
      <c r="E63" s="97"/>
      <c r="F63" s="97"/>
      <c r="G63" s="97"/>
    </row>
    <row r="64" spans="2:7">
      <c r="B64" s="97"/>
      <c r="C64" s="97"/>
      <c r="D64" s="97"/>
      <c r="E64" s="97"/>
      <c r="F64" s="97"/>
      <c r="G64" s="97"/>
    </row>
    <row r="65" spans="2:7">
      <c r="B65" s="97"/>
      <c r="C65" s="97"/>
      <c r="D65" s="97"/>
      <c r="E65" s="97"/>
      <c r="F65" s="97"/>
      <c r="G65" s="97"/>
    </row>
    <row r="66" spans="2:7">
      <c r="B66" s="97"/>
      <c r="C66" s="97"/>
      <c r="D66" s="97"/>
      <c r="E66" s="97"/>
      <c r="F66" s="97"/>
      <c r="G66" s="97"/>
    </row>
    <row r="67" spans="2:7">
      <c r="B67" s="97"/>
      <c r="C67" s="97"/>
      <c r="D67" s="97"/>
      <c r="E67" s="97"/>
      <c r="F67" s="97"/>
      <c r="G67" s="97"/>
    </row>
    <row r="68" spans="2:7">
      <c r="B68" s="97"/>
      <c r="C68" s="97"/>
      <c r="D68" s="97"/>
      <c r="E68" s="97"/>
      <c r="F68" s="97"/>
      <c r="G68" s="97"/>
    </row>
  </sheetData>
  <mergeCells count="2">
    <mergeCell ref="A1:G2"/>
    <mergeCell ref="A3:G3"/>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5"/>
  <sheetViews>
    <sheetView showGridLines="0" workbookViewId="0">
      <selection activeCell="AA19" sqref="AA19"/>
    </sheetView>
  </sheetViews>
  <sheetFormatPr defaultRowHeight="15"/>
  <cols>
    <col min="1" max="1" width="16.140625" style="11" customWidth="1"/>
    <col min="2" max="2" width="9.7109375" style="11" customWidth="1"/>
    <col min="3" max="3" width="9.5703125" style="11" customWidth="1"/>
    <col min="4" max="4" width="11.140625" style="11" customWidth="1"/>
    <col min="5" max="5" width="10.42578125" style="11" customWidth="1"/>
    <col min="6" max="6" width="11.140625" style="11" customWidth="1"/>
    <col min="7" max="7" width="11.5703125" style="11" customWidth="1"/>
  </cols>
  <sheetData>
    <row r="1" spans="1:7" ht="23.25" customHeight="1">
      <c r="A1" s="263" t="s">
        <v>44</v>
      </c>
      <c r="B1" s="263"/>
      <c r="C1" s="263"/>
      <c r="D1" s="263"/>
      <c r="E1" s="263"/>
      <c r="F1" s="263"/>
      <c r="G1" s="263"/>
    </row>
    <row r="2" spans="1:7">
      <c r="A2" s="26"/>
      <c r="B2" s="26"/>
      <c r="C2" s="26"/>
      <c r="D2" s="26"/>
      <c r="G2" s="27" t="s">
        <v>27</v>
      </c>
    </row>
    <row r="3" spans="1:7" ht="25.5" customHeight="1">
      <c r="A3" s="28" t="s">
        <v>4</v>
      </c>
      <c r="B3" s="28" t="s">
        <v>5</v>
      </c>
      <c r="C3" s="28" t="s">
        <v>6</v>
      </c>
      <c r="D3" s="28" t="s">
        <v>26</v>
      </c>
      <c r="E3" s="28" t="s">
        <v>14</v>
      </c>
      <c r="F3" s="28" t="s">
        <v>15</v>
      </c>
      <c r="G3" s="28" t="s">
        <v>0</v>
      </c>
    </row>
    <row r="4" spans="1:7">
      <c r="A4" s="29">
        <v>1</v>
      </c>
      <c r="B4" s="29">
        <v>2</v>
      </c>
      <c r="C4" s="29">
        <v>3</v>
      </c>
      <c r="D4" s="29">
        <v>4</v>
      </c>
      <c r="E4" s="30">
        <v>5</v>
      </c>
      <c r="F4" s="29">
        <v>6</v>
      </c>
      <c r="G4" s="29">
        <v>7</v>
      </c>
    </row>
    <row r="5" spans="1:7">
      <c r="A5" s="2" t="s">
        <v>7</v>
      </c>
      <c r="B5" s="31">
        <f>'6.1'!B6*15.13</f>
        <v>8972.1505200000011</v>
      </c>
      <c r="C5" s="32">
        <f>'6.1'!C6*11.37</f>
        <v>428.47845000000001</v>
      </c>
      <c r="D5" s="33">
        <f>'6.1'!D6*41.87</f>
        <v>8247.9363804200002</v>
      </c>
      <c r="E5" s="34">
        <f>'6.1'!E6*38.52</f>
        <v>2471.4158508</v>
      </c>
      <c r="F5" s="33">
        <f>'6.1'!F6*3.6/1000</f>
        <v>2499.8112000000001</v>
      </c>
      <c r="G5" s="32">
        <f t="shared" ref="G5:G14" si="0">SUM(B5:F5)</f>
        <v>22619.792401220002</v>
      </c>
    </row>
    <row r="6" spans="1:7">
      <c r="A6" s="19" t="s">
        <v>8</v>
      </c>
      <c r="B6" s="31">
        <f>'6.1'!B7*15.13</f>
        <v>9664.0454199999986</v>
      </c>
      <c r="C6" s="32">
        <f>'6.1'!C7*11.37</f>
        <v>476.20970999999997</v>
      </c>
      <c r="D6" s="33">
        <f>'6.1'!D7*41.87</f>
        <v>8546.5626830399997</v>
      </c>
      <c r="E6" s="32">
        <f>'6.1'!E7*38.52</f>
        <v>2482.6268512300007</v>
      </c>
      <c r="F6" s="33">
        <f>'6.1'!F7*3.6/1000</f>
        <v>2826.6983999999998</v>
      </c>
      <c r="G6" s="32">
        <f t="shared" si="0"/>
        <v>23996.14306427</v>
      </c>
    </row>
    <row r="7" spans="1:7">
      <c r="A7" s="2" t="s">
        <v>1</v>
      </c>
      <c r="B7" s="31">
        <f>'6.1'!B8*15.13</f>
        <v>10793.575570000001</v>
      </c>
      <c r="C7" s="32">
        <f>'6.1'!C8*11.37</f>
        <v>526.57880999999998</v>
      </c>
      <c r="D7" s="33">
        <f>'6.1'!D8*41.87</f>
        <v>9178.3971867300006</v>
      </c>
      <c r="E7" s="32">
        <f>'6.1'!E8*38.52</f>
        <v>2209.6703915138096</v>
      </c>
      <c r="F7" s="33">
        <f>'6.1'!F8*3.6/1000</f>
        <v>2967.4835640000001</v>
      </c>
      <c r="G7" s="32">
        <f t="shared" si="0"/>
        <v>25675.705522243807</v>
      </c>
    </row>
    <row r="8" spans="1:7">
      <c r="A8" s="2" t="s">
        <v>2</v>
      </c>
      <c r="B8" s="31">
        <f>'6.1'!B9*15.13</f>
        <v>11186.24446</v>
      </c>
      <c r="C8" s="32">
        <f>'6.1'!C9*11.37</f>
        <v>499.10888999999997</v>
      </c>
      <c r="D8" s="33">
        <f>'6.1'!D9*41.87</f>
        <v>9315.9402623400001</v>
      </c>
      <c r="E8" s="32">
        <f>'6.1'!E9*38.52</f>
        <v>2017.3531384237074</v>
      </c>
      <c r="F8" s="33">
        <f>'6.1'!F9*3.6/1000</f>
        <v>3147.1508393999998</v>
      </c>
      <c r="G8" s="32">
        <f t="shared" si="0"/>
        <v>26165.797590163707</v>
      </c>
    </row>
    <row r="9" spans="1:7">
      <c r="A9" s="2" t="s">
        <v>3</v>
      </c>
      <c r="B9" s="31">
        <f>'6.1'!B10*15.13</f>
        <v>12438.84203</v>
      </c>
      <c r="C9" s="32">
        <f>'6.1'!C10*11.37</f>
        <v>533.86698000000001</v>
      </c>
      <c r="D9" s="33">
        <f>'6.1'!D10*41.87</f>
        <v>9347.1332448599987</v>
      </c>
      <c r="E9" s="32">
        <f>'6.1'!E10*38.52</f>
        <v>1975.9113584065249</v>
      </c>
      <c r="F9" s="33">
        <f>'6.1'!F10*3.6/1000</f>
        <v>3414.6785551008561</v>
      </c>
      <c r="G9" s="32">
        <f t="shared" si="0"/>
        <v>27710.432168367377</v>
      </c>
    </row>
    <row r="10" spans="1:7">
      <c r="A10" s="2" t="s">
        <v>20</v>
      </c>
      <c r="B10" s="31">
        <f>'6.1'!B11*15.13</f>
        <v>12659.679510000002</v>
      </c>
      <c r="C10" s="32">
        <f>'6.1'!C11*11.37</f>
        <v>479.93906999999996</v>
      </c>
      <c r="D10" s="33">
        <f>'6.1'!D11*41.87</f>
        <v>9750.0490922600002</v>
      </c>
      <c r="E10" s="32">
        <f>'6.1'!E11*38.52</f>
        <v>2022.7951806646777</v>
      </c>
      <c r="F10" s="33">
        <f>'6.1'!F11*3.6/1000</f>
        <v>3604.2864635108804</v>
      </c>
      <c r="G10" s="32">
        <f t="shared" si="0"/>
        <v>28516.749316435562</v>
      </c>
    </row>
    <row r="11" spans="1:7">
      <c r="A11" s="2" t="s">
        <v>23</v>
      </c>
      <c r="B11" s="31">
        <f>'6.1'!B12*15.13</f>
        <v>12667.1386</v>
      </c>
      <c r="C11" s="32">
        <f>'6.1'!C12*11.37</f>
        <v>490.67234999999999</v>
      </c>
      <c r="D11" s="33">
        <f>'6.1'!D12*41.87</f>
        <v>10273.31192253</v>
      </c>
      <c r="E11" s="32">
        <f>'6.1'!E12*38.52</f>
        <v>2145.4837866826542</v>
      </c>
      <c r="F11" s="33">
        <f>'6.1'!F12*3.6/1000</f>
        <v>3820.2574977717563</v>
      </c>
      <c r="G11" s="32">
        <f t="shared" si="0"/>
        <v>29396.864156984411</v>
      </c>
    </row>
    <row r="12" spans="1:7">
      <c r="A12" s="2" t="s">
        <v>24</v>
      </c>
      <c r="B12" s="31">
        <f>'6.1'!B13*15.13</f>
        <v>13594.244480000001</v>
      </c>
      <c r="C12" s="32">
        <f>'6.1'!C13*11.37</f>
        <v>526.62428999999997</v>
      </c>
      <c r="D12" s="33">
        <f>'6.1'!D13*41.87</f>
        <v>10548.510871529998</v>
      </c>
      <c r="E12" s="32">
        <f>'6.1'!E13*38.52</f>
        <v>2279.2344270705848</v>
      </c>
      <c r="F12" s="33">
        <f>'6.1'!F13*3.6/1000</f>
        <v>4044.3366856046405</v>
      </c>
      <c r="G12" s="32">
        <f t="shared" si="0"/>
        <v>30992.950754205223</v>
      </c>
    </row>
    <row r="13" spans="1:7">
      <c r="A13" s="2" t="s">
        <v>28</v>
      </c>
      <c r="B13" s="31">
        <f>'6.1'!B14*15.13</f>
        <v>14651.332190000001</v>
      </c>
      <c r="C13" s="32">
        <f>'6.1'!C14*11.37</f>
        <v>520.85969999999998</v>
      </c>
      <c r="D13" s="33">
        <f>'6.1'!D14*41.87</f>
        <v>10769.167488199999</v>
      </c>
      <c r="E13" s="32">
        <f>'6.1'!E14*38.52</f>
        <v>2341.799824317407</v>
      </c>
      <c r="F13" s="33">
        <f>'6.1'!F14*3.6/1000</f>
        <v>4355.8978782974964</v>
      </c>
      <c r="G13" s="32">
        <f t="shared" si="0"/>
        <v>32639.057080814906</v>
      </c>
    </row>
    <row r="14" spans="1:7" s="5" customFormat="1">
      <c r="A14" s="2" t="s">
        <v>30</v>
      </c>
      <c r="B14" s="31">
        <f>'6.1'!B15*15.13</f>
        <v>14261.991900000001</v>
      </c>
      <c r="C14" s="32">
        <f>'6.1'!C15*11.37</f>
        <v>480.57578999999998</v>
      </c>
      <c r="D14" s="33">
        <f>'6.1'!D15*41.87</f>
        <v>10651.139251502645</v>
      </c>
      <c r="E14" s="32">
        <f>'6.1'!E15*38.52</f>
        <v>2470.7965265892658</v>
      </c>
      <c r="F14" s="33">
        <f>'6.1'!F15*3.6/1000</f>
        <v>4649.3775076394768</v>
      </c>
      <c r="G14" s="32">
        <f t="shared" si="0"/>
        <v>32513.880975731394</v>
      </c>
    </row>
    <row r="15" spans="1:7" s="6" customFormat="1" ht="38.25">
      <c r="A15" s="22" t="s">
        <v>37</v>
      </c>
      <c r="B15" s="41">
        <f t="shared" ref="B15:G15" si="1">B14/$G$14*100</f>
        <v>43.864317245441292</v>
      </c>
      <c r="C15" s="41">
        <f t="shared" si="1"/>
        <v>1.4780634472971879</v>
      </c>
      <c r="D15" s="41">
        <f t="shared" si="1"/>
        <v>32.758744671092124</v>
      </c>
      <c r="E15" s="41">
        <f t="shared" si="1"/>
        <v>7.5992051777315881</v>
      </c>
      <c r="F15" s="41">
        <f t="shared" si="1"/>
        <v>14.299669458437789</v>
      </c>
      <c r="G15" s="41">
        <f t="shared" si="1"/>
        <v>100</v>
      </c>
    </row>
    <row r="16" spans="1:7" ht="33.75" customHeight="1">
      <c r="A16" s="22" t="s">
        <v>36</v>
      </c>
      <c r="B16" s="35">
        <f t="shared" ref="B16:G16" si="2">((B14/B5)^(1/9)-1)*100</f>
        <v>5.2845992245882378</v>
      </c>
      <c r="C16" s="35">
        <f t="shared" si="2"/>
        <v>1.2831009121780035</v>
      </c>
      <c r="D16" s="35">
        <f t="shared" si="2"/>
        <v>2.8818993485944411</v>
      </c>
      <c r="E16" s="40">
        <f t="shared" si="2"/>
        <v>-2.7846979516743531E-3</v>
      </c>
      <c r="F16" s="35">
        <f t="shared" si="2"/>
        <v>7.1378845071608188</v>
      </c>
      <c r="G16" s="35">
        <f t="shared" si="2"/>
        <v>4.1139469268934636</v>
      </c>
    </row>
    <row r="17" spans="1:7">
      <c r="A17" s="26" t="s">
        <v>29</v>
      </c>
      <c r="B17" s="26"/>
      <c r="C17" s="26"/>
      <c r="D17" s="26"/>
      <c r="G17" s="36" t="s">
        <v>25</v>
      </c>
    </row>
    <row r="18" spans="1:7">
      <c r="A18" s="26" t="s">
        <v>21</v>
      </c>
      <c r="B18" s="26"/>
      <c r="C18" s="26"/>
      <c r="D18" s="37"/>
      <c r="E18" s="37"/>
    </row>
    <row r="19" spans="1:7" ht="30.75" customHeight="1">
      <c r="A19" s="264" t="s">
        <v>18</v>
      </c>
      <c r="B19" s="264"/>
      <c r="C19" s="264"/>
      <c r="D19" s="264"/>
      <c r="E19" s="264"/>
      <c r="F19" s="264"/>
      <c r="G19" s="264"/>
    </row>
    <row r="20" spans="1:7">
      <c r="A20" s="38" t="s">
        <v>9</v>
      </c>
      <c r="B20" s="265" t="s">
        <v>11</v>
      </c>
      <c r="C20" s="265"/>
      <c r="D20" s="265"/>
      <c r="E20" s="265"/>
    </row>
    <row r="21" spans="1:7">
      <c r="A21" s="13"/>
      <c r="B21" s="266" t="s">
        <v>10</v>
      </c>
      <c r="C21" s="266"/>
      <c r="D21" s="266"/>
      <c r="E21" s="13"/>
    </row>
    <row r="22" spans="1:7">
      <c r="A22" s="13"/>
      <c r="B22" s="265" t="s">
        <v>13</v>
      </c>
      <c r="C22" s="265"/>
      <c r="D22" s="265"/>
      <c r="E22" s="13"/>
    </row>
    <row r="23" spans="1:7">
      <c r="B23" s="95"/>
      <c r="C23" s="95"/>
      <c r="D23" s="95"/>
      <c r="E23" s="95"/>
      <c r="F23" s="95"/>
      <c r="G23" s="95"/>
    </row>
    <row r="24" spans="1:7">
      <c r="A24" s="26"/>
      <c r="B24" s="26"/>
      <c r="C24" s="26"/>
      <c r="D24" s="37"/>
      <c r="E24" s="39"/>
      <c r="F24" s="39"/>
    </row>
    <row r="25" spans="1:7" ht="59.25" customHeight="1">
      <c r="A25" s="262"/>
      <c r="B25" s="262"/>
      <c r="C25" s="262"/>
      <c r="D25" s="262"/>
    </row>
  </sheetData>
  <mergeCells count="6">
    <mergeCell ref="A25:D25"/>
    <mergeCell ref="A1:G1"/>
    <mergeCell ref="A19:G19"/>
    <mergeCell ref="B20:E20"/>
    <mergeCell ref="B21:D21"/>
    <mergeCell ref="B22:D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
  <sheetViews>
    <sheetView showGridLines="0" zoomScaleNormal="100" workbookViewId="0">
      <selection activeCell="Z17" sqref="Z17"/>
    </sheetView>
  </sheetViews>
  <sheetFormatPr defaultRowHeight="15"/>
  <cols>
    <col min="1" max="1" width="14.5703125" style="11" customWidth="1"/>
    <col min="2" max="2" width="9.7109375" style="11" customWidth="1"/>
    <col min="3" max="3" width="9.5703125" style="11" customWidth="1"/>
    <col min="4" max="4" width="8" style="11" customWidth="1"/>
    <col min="5" max="5" width="8.42578125" style="11" customWidth="1"/>
    <col min="6" max="6" width="7.7109375" style="11" customWidth="1"/>
    <col min="7" max="7" width="11.85546875" style="11" customWidth="1"/>
    <col min="8" max="8" width="10.42578125" style="11" bestFit="1" customWidth="1"/>
    <col min="9" max="9" width="9.28515625" style="11" customWidth="1"/>
    <col min="10" max="10" width="9.140625" style="11" customWidth="1"/>
    <col min="11" max="11" width="10.7109375" style="11" customWidth="1"/>
    <col min="12" max="16384" width="9.140625" style="11"/>
  </cols>
  <sheetData>
    <row r="1" spans="1:11" ht="20.25" customHeight="1">
      <c r="A1" s="267" t="s">
        <v>185</v>
      </c>
      <c r="B1" s="267"/>
      <c r="C1" s="267"/>
      <c r="D1" s="267"/>
      <c r="E1" s="267"/>
      <c r="F1" s="267"/>
      <c r="G1" s="267"/>
      <c r="H1" s="267"/>
      <c r="I1" s="267"/>
      <c r="J1" s="267"/>
      <c r="K1" s="267"/>
    </row>
    <row r="2" spans="1:11">
      <c r="A2" s="187"/>
      <c r="B2" s="188"/>
      <c r="C2" s="188"/>
      <c r="D2" s="188"/>
      <c r="E2" s="188"/>
      <c r="F2" s="188"/>
      <c r="G2" s="188"/>
      <c r="H2" s="188"/>
      <c r="I2" s="188"/>
      <c r="J2" s="188"/>
      <c r="K2" s="188" t="s">
        <v>159</v>
      </c>
    </row>
    <row r="3" spans="1:11" ht="38.25">
      <c r="A3" s="185" t="s">
        <v>4</v>
      </c>
      <c r="B3" s="185" t="s">
        <v>160</v>
      </c>
      <c r="C3" s="185" t="s">
        <v>183</v>
      </c>
      <c r="D3" s="185" t="s">
        <v>161</v>
      </c>
      <c r="E3" s="185" t="s">
        <v>162</v>
      </c>
      <c r="F3" s="139" t="s">
        <v>163</v>
      </c>
      <c r="G3" s="139" t="s">
        <v>127</v>
      </c>
      <c r="H3" s="139" t="s">
        <v>164</v>
      </c>
      <c r="I3" s="139" t="s">
        <v>165</v>
      </c>
      <c r="J3" s="185" t="s">
        <v>58</v>
      </c>
      <c r="K3" s="185" t="s">
        <v>0</v>
      </c>
    </row>
    <row r="4" spans="1:11">
      <c r="A4" s="15">
        <v>1</v>
      </c>
      <c r="B4" s="15">
        <v>2</v>
      </c>
      <c r="C4" s="15">
        <v>3</v>
      </c>
      <c r="D4" s="15">
        <v>4</v>
      </c>
      <c r="E4" s="15">
        <v>5</v>
      </c>
      <c r="F4" s="15">
        <v>6</v>
      </c>
      <c r="G4" s="15">
        <v>7</v>
      </c>
      <c r="H4" s="15">
        <v>8</v>
      </c>
      <c r="I4" s="15">
        <v>9</v>
      </c>
      <c r="J4" s="15">
        <v>10</v>
      </c>
      <c r="K4" s="15" t="s">
        <v>166</v>
      </c>
    </row>
    <row r="5" spans="1:11">
      <c r="A5" s="53" t="s">
        <v>7</v>
      </c>
      <c r="B5" s="201">
        <v>395.8359999999999</v>
      </c>
      <c r="C5" s="202">
        <v>38.109915000000001</v>
      </c>
      <c r="D5" s="202">
        <v>15.079000000000001</v>
      </c>
      <c r="E5" s="202">
        <v>2.4319999999999999</v>
      </c>
      <c r="F5" s="203">
        <v>0.27500000000000002</v>
      </c>
      <c r="G5" s="203">
        <v>22.794</v>
      </c>
      <c r="H5" s="203">
        <v>3.4510000000000001</v>
      </c>
      <c r="I5" s="203">
        <v>0.27300000000000002</v>
      </c>
      <c r="J5" s="202">
        <v>114.753683</v>
      </c>
      <c r="K5" s="202">
        <f>SUM(B5:J5)</f>
        <v>593.0035979999999</v>
      </c>
    </row>
    <row r="6" spans="1:11">
      <c r="A6" s="53" t="s">
        <v>8</v>
      </c>
      <c r="B6" s="202">
        <v>410.36799999999999</v>
      </c>
      <c r="C6" s="202">
        <v>47.855008000000005</v>
      </c>
      <c r="D6" s="202">
        <v>13.179</v>
      </c>
      <c r="E6" s="202">
        <v>2.0259999999999998</v>
      </c>
      <c r="F6" s="203">
        <v>0.25800000000000001</v>
      </c>
      <c r="G6" s="203">
        <v>21.686</v>
      </c>
      <c r="H6" s="203">
        <v>3.19</v>
      </c>
      <c r="I6" s="203">
        <v>0.129</v>
      </c>
      <c r="J6" s="202">
        <v>140.042618</v>
      </c>
      <c r="K6" s="202">
        <f t="shared" ref="K6:K14" si="0">SUM(B6:J6)</f>
        <v>638.73362599999996</v>
      </c>
    </row>
    <row r="7" spans="1:11">
      <c r="A7" s="2" t="s">
        <v>1</v>
      </c>
      <c r="B7" s="202">
        <v>446.76400000000001</v>
      </c>
      <c r="C7" s="202">
        <v>51.701974000000007</v>
      </c>
      <c r="D7" s="202">
        <v>31.113</v>
      </c>
      <c r="E7" s="202">
        <v>2.1179999999999999</v>
      </c>
      <c r="F7" s="203">
        <v>0.30399999999999999</v>
      </c>
      <c r="G7" s="203">
        <v>20.902999999999999</v>
      </c>
      <c r="H7" s="203">
        <v>2.8610000000000002</v>
      </c>
      <c r="I7" s="203">
        <v>2.0059999999999998</v>
      </c>
      <c r="J7" s="202">
        <v>173.6184710000002</v>
      </c>
      <c r="K7" s="202">
        <f t="shared" si="0"/>
        <v>731.38944500000025</v>
      </c>
    </row>
    <row r="8" spans="1:11">
      <c r="A8" s="2" t="s">
        <v>2</v>
      </c>
      <c r="B8" s="202">
        <v>448.952</v>
      </c>
      <c r="C8" s="202">
        <v>53.047136000000009</v>
      </c>
      <c r="D8" s="202">
        <v>11.936</v>
      </c>
      <c r="E8" s="202">
        <v>1.9059999999999999</v>
      </c>
      <c r="F8" s="203">
        <v>0.36</v>
      </c>
      <c r="G8" s="203">
        <v>18.492999999999999</v>
      </c>
      <c r="H8" s="203">
        <v>2.6389999999999998</v>
      </c>
      <c r="I8" s="203">
        <v>4.0069999999999997</v>
      </c>
      <c r="J8" s="202">
        <v>198.00188700000012</v>
      </c>
      <c r="K8" s="202">
        <f t="shared" si="0"/>
        <v>739.34202300000015</v>
      </c>
    </row>
    <row r="9" spans="1:11">
      <c r="A9" s="2" t="s">
        <v>3</v>
      </c>
      <c r="B9" s="202">
        <v>497.70100000000002</v>
      </c>
      <c r="C9" s="202">
        <v>56.237285999999997</v>
      </c>
      <c r="D9" s="202">
        <v>11.356999999999999</v>
      </c>
      <c r="E9" s="202">
        <v>1.6479999999999999</v>
      </c>
      <c r="F9" s="203">
        <v>0.41499999999999998</v>
      </c>
      <c r="G9" s="203">
        <v>17.765999999999998</v>
      </c>
      <c r="H9" s="203">
        <v>2.7</v>
      </c>
      <c r="I9" s="203">
        <v>9.0999999999999998E-2</v>
      </c>
      <c r="J9" s="202">
        <v>234.21550899999988</v>
      </c>
      <c r="K9" s="202">
        <f t="shared" si="0"/>
        <v>822.13079499999992</v>
      </c>
    </row>
    <row r="10" spans="1:11">
      <c r="A10" s="53" t="s">
        <v>20</v>
      </c>
      <c r="B10" s="202">
        <v>517.76900000000001</v>
      </c>
      <c r="C10" s="202">
        <v>57.083168999999998</v>
      </c>
      <c r="D10" s="202">
        <v>8.9849999999999994</v>
      </c>
      <c r="E10" s="202">
        <v>1.2110000000000001</v>
      </c>
      <c r="F10" s="203">
        <v>0.26700000000000002</v>
      </c>
      <c r="G10" s="203">
        <v>7.7629999999999999</v>
      </c>
      <c r="H10" s="203">
        <v>2.621</v>
      </c>
      <c r="I10" s="203">
        <v>7.3999999999999996E-2</v>
      </c>
      <c r="J10" s="204">
        <v>240.95409199999989</v>
      </c>
      <c r="K10" s="202">
        <f t="shared" si="0"/>
        <v>836.727261</v>
      </c>
    </row>
    <row r="11" spans="1:11">
      <c r="A11" s="53" t="s">
        <v>23</v>
      </c>
      <c r="B11" s="202">
        <v>535.04399999999998</v>
      </c>
      <c r="C11" s="202">
        <v>51.97978599999999</v>
      </c>
      <c r="D11" s="202">
        <v>6.3559999999999999</v>
      </c>
      <c r="E11" s="202">
        <v>1.181</v>
      </c>
      <c r="F11" s="205">
        <v>0.24299999999999999</v>
      </c>
      <c r="G11" s="205">
        <v>5.5570000000000004</v>
      </c>
      <c r="H11" s="205">
        <v>2.4470000000000001</v>
      </c>
      <c r="I11" s="205">
        <v>9.9000000000000005E-2</v>
      </c>
      <c r="J11" s="204">
        <v>234.3132600000001</v>
      </c>
      <c r="K11" s="202">
        <f>SUM(B11:J11)</f>
        <v>837.22004600000025</v>
      </c>
    </row>
    <row r="12" spans="1:11">
      <c r="A12" s="53" t="s">
        <v>24</v>
      </c>
      <c r="B12" s="202">
        <v>585.48800000000006</v>
      </c>
      <c r="C12" s="202">
        <v>58.45024699999999</v>
      </c>
      <c r="D12" s="202">
        <v>7.7080000000000002</v>
      </c>
      <c r="E12" s="202">
        <v>1.51</v>
      </c>
      <c r="F12" s="205">
        <v>0.23799999999999999</v>
      </c>
      <c r="G12" s="205">
        <v>8.5280000000000005</v>
      </c>
      <c r="H12" s="205">
        <v>2.16</v>
      </c>
      <c r="I12" s="205">
        <v>0.115</v>
      </c>
      <c r="J12" s="204">
        <f>72.809+161.245+0.243</f>
        <v>234.297</v>
      </c>
      <c r="K12" s="202">
        <f t="shared" si="0"/>
        <v>898.49424700000009</v>
      </c>
    </row>
    <row r="13" spans="1:11">
      <c r="A13" s="53" t="s">
        <v>28</v>
      </c>
      <c r="B13" s="202">
        <v>621.64400000000001</v>
      </c>
      <c r="C13" s="202">
        <f>12.813+51.83768</f>
        <v>64.650679999999994</v>
      </c>
      <c r="D13" s="202">
        <v>8.8160000000000007</v>
      </c>
      <c r="E13" s="202">
        <v>1.637</v>
      </c>
      <c r="F13" s="205">
        <v>0.20399999999999999</v>
      </c>
      <c r="G13" s="205">
        <v>12.092000000000001</v>
      </c>
      <c r="H13" s="205">
        <v>1.7889999999999999</v>
      </c>
      <c r="I13" s="205">
        <v>9.2999999999999999E-2</v>
      </c>
      <c r="J13" s="204">
        <f>73.706+0.22+183.51033</f>
        <v>257.43633</v>
      </c>
      <c r="K13" s="202">
        <f t="shared" si="0"/>
        <v>968.36200999999983</v>
      </c>
    </row>
    <row r="14" spans="1:11">
      <c r="A14" s="53" t="s">
        <v>31</v>
      </c>
      <c r="B14" s="202">
        <v>611.40899999999999</v>
      </c>
      <c r="C14" s="202">
        <f>17.141+51.83275</f>
        <v>68.973749999999995</v>
      </c>
      <c r="D14" s="202">
        <v>8.5969999999999995</v>
      </c>
      <c r="E14" s="202">
        <v>1.365</v>
      </c>
      <c r="F14" s="205">
        <v>0.122</v>
      </c>
      <c r="G14" s="205">
        <v>10.443</v>
      </c>
      <c r="H14" s="205">
        <v>1.762</v>
      </c>
      <c r="I14" s="205">
        <v>2.5999999999999999E-2</v>
      </c>
      <c r="J14" s="204">
        <f>55.904+0.617+183.402</f>
        <v>239.923</v>
      </c>
      <c r="K14" s="202">
        <f t="shared" si="0"/>
        <v>942.62074999999982</v>
      </c>
    </row>
    <row r="15" spans="1:11" ht="49.5" customHeight="1">
      <c r="A15" s="189" t="s">
        <v>180</v>
      </c>
      <c r="B15" s="206">
        <f>B14/$K$14*100</f>
        <v>64.862671440237236</v>
      </c>
      <c r="C15" s="206">
        <f t="shared" ref="C15:J15" si="1">C14/$K$14*100</f>
        <v>7.3172323015380263</v>
      </c>
      <c r="D15" s="206">
        <f t="shared" si="1"/>
        <v>0.91203169461313049</v>
      </c>
      <c r="E15" s="206">
        <f t="shared" si="1"/>
        <v>0.14480903374978754</v>
      </c>
      <c r="F15" s="206">
        <f t="shared" si="1"/>
        <v>1.2942638913900423E-2</v>
      </c>
      <c r="G15" s="206">
        <f t="shared" si="1"/>
        <v>1.1078686735890337</v>
      </c>
      <c r="H15" s="206">
        <f t="shared" si="1"/>
        <v>0.18692565382207005</v>
      </c>
      <c r="I15" s="206">
        <f t="shared" si="1"/>
        <v>2.7582673095197623E-3</v>
      </c>
      <c r="J15" s="206">
        <f t="shared" si="1"/>
        <v>25.452760296227307</v>
      </c>
      <c r="K15" s="206">
        <f>SUM(B15:J15)</f>
        <v>100.00000000000003</v>
      </c>
    </row>
    <row r="16" spans="1:11" ht="41.25" customHeight="1">
      <c r="A16" s="22" t="s">
        <v>167</v>
      </c>
      <c r="B16" s="190">
        <f>B14/B13*100-100</f>
        <v>-1.6464407281337969</v>
      </c>
      <c r="C16" s="190">
        <f t="shared" ref="C16:K16" si="2">C14/C13*100-100</f>
        <v>6.686812884257364</v>
      </c>
      <c r="D16" s="190">
        <f t="shared" si="2"/>
        <v>-2.4841197822141652</v>
      </c>
      <c r="E16" s="190">
        <f t="shared" si="2"/>
        <v>-16.615760537568718</v>
      </c>
      <c r="F16" s="190">
        <f t="shared" si="2"/>
        <v>-40.196078431372548</v>
      </c>
      <c r="G16" s="190">
        <f t="shared" si="2"/>
        <v>-13.637115448230247</v>
      </c>
      <c r="H16" s="190">
        <f t="shared" si="2"/>
        <v>-1.5092230296254883</v>
      </c>
      <c r="I16" s="190">
        <f t="shared" si="2"/>
        <v>-72.043010752688176</v>
      </c>
      <c r="J16" s="190">
        <f t="shared" si="2"/>
        <v>-6.8029753220922657</v>
      </c>
      <c r="K16" s="190">
        <f t="shared" si="2"/>
        <v>-2.6582269579121629</v>
      </c>
    </row>
    <row r="17" spans="1:11" ht="39" customHeight="1">
      <c r="A17" s="21" t="s">
        <v>36</v>
      </c>
      <c r="B17" s="47">
        <f>((B14/B5)^(1/9)-1)*100</f>
        <v>4.9493166972087499</v>
      </c>
      <c r="C17" s="47">
        <f t="shared" ref="C17:K17" si="3">((C14/C5)^(1/9)-1)*100</f>
        <v>6.8137881539843237</v>
      </c>
      <c r="D17" s="47">
        <f t="shared" si="3"/>
        <v>-6.0523236787219599</v>
      </c>
      <c r="E17" s="47">
        <f t="shared" si="3"/>
        <v>-6.2157525505887161</v>
      </c>
      <c r="F17" s="47">
        <f t="shared" si="3"/>
        <v>-8.6348034193571408</v>
      </c>
      <c r="G17" s="47">
        <f t="shared" si="3"/>
        <v>-8.3074904164651251</v>
      </c>
      <c r="H17" s="47">
        <f t="shared" si="3"/>
        <v>-7.1969334335348361</v>
      </c>
      <c r="I17" s="47">
        <f t="shared" si="3"/>
        <v>-22.992234414711355</v>
      </c>
      <c r="J17" s="47">
        <f t="shared" si="3"/>
        <v>8.5399137760990396</v>
      </c>
      <c r="K17" s="47">
        <f t="shared" si="3"/>
        <v>5.2844923594447923</v>
      </c>
    </row>
    <row r="18" spans="1:11">
      <c r="A18" s="191" t="s">
        <v>19</v>
      </c>
      <c r="B18" s="192"/>
      <c r="C18" s="245" t="s">
        <v>182</v>
      </c>
      <c r="D18" s="192"/>
      <c r="E18" s="192"/>
      <c r="F18" s="193"/>
      <c r="G18" s="193"/>
      <c r="H18" s="193"/>
      <c r="I18" s="193"/>
      <c r="J18" s="193"/>
      <c r="K18" s="193"/>
    </row>
    <row r="19" spans="1:11">
      <c r="A19" s="23" t="s">
        <v>184</v>
      </c>
      <c r="B19" s="23"/>
      <c r="C19" s="23"/>
      <c r="D19" s="23"/>
      <c r="E19" s="23"/>
      <c r="F19" s="12"/>
      <c r="G19" s="12"/>
      <c r="H19" s="12"/>
      <c r="I19" s="12"/>
      <c r="J19" s="12"/>
      <c r="K19" s="12"/>
    </row>
    <row r="20" spans="1:11">
      <c r="A20" s="16" t="s">
        <v>168</v>
      </c>
      <c r="B20" s="12"/>
      <c r="C20" s="12"/>
      <c r="D20" s="12"/>
      <c r="E20" s="12"/>
      <c r="F20" s="12"/>
      <c r="G20" s="12"/>
      <c r="H20" s="12"/>
      <c r="I20" s="12"/>
      <c r="J20" s="12"/>
      <c r="K20" s="12"/>
    </row>
    <row r="21" spans="1:11">
      <c r="B21" s="12"/>
      <c r="C21" s="12"/>
      <c r="D21" s="12"/>
      <c r="E21" s="12"/>
      <c r="F21" s="167"/>
      <c r="G21" s="167"/>
      <c r="H21" s="167"/>
      <c r="I21" s="167"/>
      <c r="J21" s="167"/>
      <c r="K21" s="167"/>
    </row>
  </sheetData>
  <mergeCells count="1">
    <mergeCell ref="A1:K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
  <sheetViews>
    <sheetView showGridLines="0" workbookViewId="0">
      <selection activeCell="L17" sqref="L17"/>
    </sheetView>
  </sheetViews>
  <sheetFormatPr defaultRowHeight="15"/>
  <cols>
    <col min="1" max="1" width="12.42578125" style="6" customWidth="1"/>
    <col min="2" max="9" width="9.140625" style="6"/>
    <col min="10" max="10" width="15.7109375" style="6" customWidth="1"/>
    <col min="11" max="15" width="9.140625" style="6"/>
    <col min="16" max="16" width="11.7109375" style="6" customWidth="1"/>
    <col min="17" max="16384" width="9.140625" style="6"/>
  </cols>
  <sheetData>
    <row r="1" spans="1:11" ht="26.25" customHeight="1">
      <c r="A1" s="267" t="s">
        <v>186</v>
      </c>
      <c r="B1" s="267"/>
      <c r="C1" s="267"/>
      <c r="D1" s="267"/>
      <c r="E1" s="267"/>
      <c r="F1" s="267"/>
      <c r="G1" s="267"/>
      <c r="H1" s="267"/>
    </row>
    <row r="2" spans="1:11">
      <c r="A2" s="187"/>
      <c r="B2" s="188"/>
      <c r="C2" s="188"/>
      <c r="D2" s="188"/>
      <c r="E2" s="188"/>
      <c r="F2" s="188"/>
      <c r="G2" s="188"/>
      <c r="H2" s="188" t="s">
        <v>175</v>
      </c>
    </row>
    <row r="3" spans="1:11" ht="31.5" customHeight="1">
      <c r="A3" s="50" t="s">
        <v>4</v>
      </c>
      <c r="B3" s="50" t="s">
        <v>160</v>
      </c>
      <c r="C3" s="50" t="s">
        <v>169</v>
      </c>
      <c r="D3" s="50" t="s">
        <v>161</v>
      </c>
      <c r="E3" s="50" t="s">
        <v>162</v>
      </c>
      <c r="F3" s="139" t="s">
        <v>163</v>
      </c>
      <c r="G3" s="50" t="s">
        <v>170</v>
      </c>
      <c r="H3" s="194" t="s">
        <v>0</v>
      </c>
    </row>
    <row r="4" spans="1:11">
      <c r="A4" s="15">
        <v>1</v>
      </c>
      <c r="B4" s="15">
        <v>2</v>
      </c>
      <c r="C4" s="15">
        <v>3</v>
      </c>
      <c r="D4" s="15">
        <v>4</v>
      </c>
      <c r="E4" s="15">
        <v>5</v>
      </c>
      <c r="F4" s="15">
        <v>6</v>
      </c>
      <c r="G4" s="15">
        <v>7</v>
      </c>
      <c r="H4" s="25" t="s">
        <v>146</v>
      </c>
      <c r="K4" s="216"/>
    </row>
    <row r="5" spans="1:11">
      <c r="A5" s="2" t="s">
        <v>7</v>
      </c>
      <c r="B5" s="202">
        <v>29.899000000000001</v>
      </c>
      <c r="C5" s="202" t="s">
        <v>66</v>
      </c>
      <c r="D5" s="202">
        <v>0.36099999999999999</v>
      </c>
      <c r="E5" s="202">
        <v>0.84319999999999995</v>
      </c>
      <c r="F5" s="203">
        <v>1.175</v>
      </c>
      <c r="G5" s="202">
        <v>6.25</v>
      </c>
      <c r="H5" s="226">
        <v>38.528199999999998</v>
      </c>
      <c r="I5" s="44"/>
      <c r="J5" s="44"/>
      <c r="K5" s="44"/>
    </row>
    <row r="6" spans="1:11">
      <c r="A6" s="2" t="s">
        <v>8</v>
      </c>
      <c r="B6" s="202">
        <v>32.063000000000002</v>
      </c>
      <c r="C6" s="202">
        <v>3.2000000000000001E-2</v>
      </c>
      <c r="D6" s="202">
        <v>1.0137</v>
      </c>
      <c r="E6" s="202">
        <v>0.63100000000000001</v>
      </c>
      <c r="F6" s="202">
        <v>3.6684999999999999</v>
      </c>
      <c r="G6" s="202">
        <v>4.4755399999999996</v>
      </c>
      <c r="H6" s="226">
        <v>41.883740000000003</v>
      </c>
      <c r="J6" s="44"/>
      <c r="K6" s="44"/>
    </row>
    <row r="7" spans="1:11">
      <c r="A7" s="217" t="s">
        <v>1</v>
      </c>
      <c r="B7" s="202">
        <v>37.198999999999998</v>
      </c>
      <c r="C7" s="202">
        <v>4.9000000000000002E-2</v>
      </c>
      <c r="D7" s="202">
        <v>1.097</v>
      </c>
      <c r="E7" s="202">
        <v>0.69399999999999995</v>
      </c>
      <c r="F7" s="202">
        <v>3.468</v>
      </c>
      <c r="G7" s="226">
        <v>3.806</v>
      </c>
      <c r="H7" s="226">
        <v>46.313000000000002</v>
      </c>
      <c r="I7" s="224"/>
      <c r="J7" s="44"/>
      <c r="K7" s="225"/>
    </row>
    <row r="8" spans="1:11">
      <c r="A8" s="217" t="s">
        <v>2</v>
      </c>
      <c r="B8" s="202">
        <v>36.335999999999999</v>
      </c>
      <c r="C8" s="202">
        <v>0.03</v>
      </c>
      <c r="D8" s="202">
        <v>1.4890000000000001</v>
      </c>
      <c r="E8" s="202">
        <v>1.29</v>
      </c>
      <c r="F8" s="202">
        <v>0.73299999999999998</v>
      </c>
      <c r="G8" s="226">
        <v>4.0190000000000001</v>
      </c>
      <c r="H8" s="226">
        <v>43.896999999999991</v>
      </c>
      <c r="J8" s="44"/>
      <c r="K8" s="44"/>
    </row>
    <row r="9" spans="1:11">
      <c r="A9" s="217" t="s">
        <v>3</v>
      </c>
      <c r="B9" s="202">
        <v>39.472999999999999</v>
      </c>
      <c r="C9" s="202">
        <v>2.3E-2</v>
      </c>
      <c r="D9" s="202">
        <v>1.2689999999999999</v>
      </c>
      <c r="E9" s="202">
        <v>0.65</v>
      </c>
      <c r="F9" s="202">
        <v>2.887</v>
      </c>
      <c r="G9" s="227">
        <v>2.6469999999999998</v>
      </c>
      <c r="H9" s="203">
        <v>46.948999999999998</v>
      </c>
      <c r="I9" s="224"/>
      <c r="J9" s="44"/>
      <c r="K9" s="218"/>
    </row>
    <row r="10" spans="1:11">
      <c r="A10" s="53" t="s">
        <v>20</v>
      </c>
      <c r="B10" s="202">
        <v>37.555</v>
      </c>
      <c r="C10" s="202">
        <v>1.2E-2</v>
      </c>
      <c r="D10" s="202">
        <v>0.22500000000000001</v>
      </c>
      <c r="E10" s="202">
        <v>0.42699999999999999</v>
      </c>
      <c r="F10" s="202">
        <v>1.728</v>
      </c>
      <c r="G10" s="202">
        <v>2.2640000000000002</v>
      </c>
      <c r="H10" s="203">
        <v>42.211000000000006</v>
      </c>
      <c r="J10" s="44"/>
      <c r="K10" s="44"/>
    </row>
    <row r="11" spans="1:11">
      <c r="A11" s="53" t="s">
        <v>23</v>
      </c>
      <c r="B11" s="202">
        <v>38.823999999999998</v>
      </c>
      <c r="C11" s="202">
        <v>3.5000000000000003E-2</v>
      </c>
      <c r="D11" s="202">
        <v>0.29099999999999998</v>
      </c>
      <c r="E11" s="202">
        <v>0.52600000000000002</v>
      </c>
      <c r="F11" s="202">
        <v>1.292</v>
      </c>
      <c r="G11" s="202">
        <f>H11-SUM(B11:F11)</f>
        <v>2.1869999999999976</v>
      </c>
      <c r="H11" s="205">
        <v>43.154999999999994</v>
      </c>
      <c r="J11" s="44"/>
      <c r="K11" s="44"/>
    </row>
    <row r="12" spans="1:11">
      <c r="A12" s="53" t="s">
        <v>24</v>
      </c>
      <c r="B12" s="202">
        <v>38.838999999999999</v>
      </c>
      <c r="C12" s="202">
        <v>0.12</v>
      </c>
      <c r="D12" s="202">
        <v>1.091</v>
      </c>
      <c r="E12" s="202">
        <v>0.75800000000000001</v>
      </c>
      <c r="F12" s="202">
        <v>2.4569999999999999</v>
      </c>
      <c r="G12" s="202">
        <f>0.093+0.224+0.38+2.355</f>
        <v>3.052</v>
      </c>
      <c r="H12" s="205">
        <v>46.32</v>
      </c>
      <c r="J12" s="44"/>
      <c r="K12" s="44"/>
    </row>
    <row r="13" spans="1:11">
      <c r="A13" s="53" t="s">
        <v>28</v>
      </c>
      <c r="B13" s="202">
        <v>37.728000000000002</v>
      </c>
      <c r="C13" s="202">
        <v>9.4E-2</v>
      </c>
      <c r="D13" s="202">
        <v>1.8029999999999999</v>
      </c>
      <c r="E13" s="202">
        <v>0.60199999999999998</v>
      </c>
      <c r="F13" s="202">
        <v>2.6139999999999999</v>
      </c>
      <c r="G13" s="202">
        <f>0.048+0.001+0.634+2.287</f>
        <v>2.9699999999999998</v>
      </c>
      <c r="H13" s="205">
        <v>45.81</v>
      </c>
      <c r="J13" s="44"/>
      <c r="K13" s="44"/>
    </row>
    <row r="14" spans="1:11">
      <c r="A14" s="53" t="s">
        <v>31</v>
      </c>
      <c r="B14" s="202">
        <v>36.332999999999998</v>
      </c>
      <c r="C14" s="202">
        <v>2.1000000000000001E-2</v>
      </c>
      <c r="D14" s="202">
        <v>0.77100000000000002</v>
      </c>
      <c r="E14" s="202">
        <v>0.54600000000000004</v>
      </c>
      <c r="F14" s="202">
        <v>0.122</v>
      </c>
      <c r="G14" s="202">
        <f>0.014+0.001+0.464+3.995</f>
        <v>4.4740000000000002</v>
      </c>
      <c r="H14" s="205">
        <v>42.267000000000003</v>
      </c>
      <c r="J14" s="44"/>
      <c r="K14" s="44"/>
    </row>
    <row r="15" spans="1:11" ht="52.5" customHeight="1">
      <c r="A15" s="189" t="s">
        <v>179</v>
      </c>
      <c r="B15" s="206">
        <f t="shared" ref="B15:G15" si="0">B14/$H$14*100</f>
        <v>85.960678543544603</v>
      </c>
      <c r="C15" s="206">
        <f t="shared" si="0"/>
        <v>4.9684150755908867E-2</v>
      </c>
      <c r="D15" s="206">
        <f t="shared" si="0"/>
        <v>1.8241181063240823</v>
      </c>
      <c r="E15" s="206">
        <f t="shared" si="0"/>
        <v>1.2917879196536304</v>
      </c>
      <c r="F15" s="206">
        <f t="shared" si="0"/>
        <v>0.28864125677242286</v>
      </c>
      <c r="G15" s="206">
        <f t="shared" si="0"/>
        <v>10.585090022949345</v>
      </c>
      <c r="H15" s="206">
        <f>SUM(B15:G15)</f>
        <v>99.999999999999986</v>
      </c>
    </row>
    <row r="16" spans="1:11" ht="41.25" customHeight="1">
      <c r="A16" s="22" t="s">
        <v>176</v>
      </c>
      <c r="B16" s="190">
        <f>B14/B13*100-100</f>
        <v>-3.6975190839694676</v>
      </c>
      <c r="C16" s="190">
        <f t="shared" ref="C16:H16" si="1">C14/C13*100-100</f>
        <v>-77.659574468085111</v>
      </c>
      <c r="D16" s="190">
        <f t="shared" si="1"/>
        <v>-57.237936772046588</v>
      </c>
      <c r="E16" s="190">
        <f t="shared" si="1"/>
        <v>-9.3023255813953369</v>
      </c>
      <c r="F16" s="190">
        <f t="shared" si="1"/>
        <v>-95.332823259372603</v>
      </c>
      <c r="G16" s="190">
        <f t="shared" si="1"/>
        <v>50.639730639730658</v>
      </c>
      <c r="H16" s="190">
        <f t="shared" si="1"/>
        <v>-7.7341191879502276</v>
      </c>
    </row>
    <row r="17" spans="1:10" ht="38.25">
      <c r="A17" s="21" t="s">
        <v>33</v>
      </c>
      <c r="B17" s="47">
        <f>((B14/B5)^(1/9)-1)*100</f>
        <v>2.1891896076899453</v>
      </c>
      <c r="C17" s="228" t="s">
        <v>66</v>
      </c>
      <c r="D17" s="47">
        <f t="shared" ref="D17:H17" si="2">((D14/D5)^(1/9)-1)*100</f>
        <v>8.7968578932327901</v>
      </c>
      <c r="E17" s="47">
        <f t="shared" si="2"/>
        <v>-4.7139956206389444</v>
      </c>
      <c r="F17" s="47">
        <f t="shared" si="2"/>
        <v>-22.249634293257447</v>
      </c>
      <c r="G17" s="47">
        <f t="shared" si="2"/>
        <v>-3.6462902451564361</v>
      </c>
      <c r="H17" s="47">
        <f t="shared" si="2"/>
        <v>1.0343820015563221</v>
      </c>
      <c r="I17" s="219"/>
      <c r="J17" s="1"/>
    </row>
    <row r="18" spans="1:10" ht="20.25" customHeight="1">
      <c r="A18" s="268" t="s">
        <v>19</v>
      </c>
      <c r="B18" s="268"/>
      <c r="C18" s="268"/>
      <c r="D18" s="268"/>
      <c r="E18" s="268"/>
      <c r="F18" s="268"/>
      <c r="G18" s="268"/>
      <c r="H18" s="268"/>
    </row>
    <row r="19" spans="1:10" ht="26.25" customHeight="1">
      <c r="A19" s="269" t="s">
        <v>177</v>
      </c>
      <c r="B19" s="269"/>
      <c r="C19" s="269"/>
      <c r="D19" s="269"/>
      <c r="E19" s="269"/>
      <c r="F19" s="269"/>
      <c r="G19" s="269"/>
      <c r="H19" s="269"/>
    </row>
    <row r="20" spans="1:10" ht="15.75" customHeight="1">
      <c r="A20" s="121" t="s">
        <v>178</v>
      </c>
      <c r="B20" s="220"/>
      <c r="C20" s="220"/>
      <c r="D20" s="220"/>
      <c r="E20" s="220"/>
      <c r="F20" s="220"/>
      <c r="G20" s="220"/>
      <c r="H20" s="220"/>
    </row>
    <row r="21" spans="1:10">
      <c r="A21" s="16" t="s">
        <v>168</v>
      </c>
      <c r="B21" s="221"/>
      <c r="C21" s="221"/>
      <c r="D21" s="221"/>
      <c r="E21" s="221"/>
      <c r="F21" s="221"/>
      <c r="G21" s="221"/>
      <c r="H21" s="221"/>
    </row>
    <row r="22" spans="1:10">
      <c r="B22" s="222"/>
      <c r="C22" s="222"/>
      <c r="D22" s="222"/>
      <c r="E22" s="222"/>
      <c r="F22" s="222"/>
      <c r="G22" s="222"/>
      <c r="H22" s="222"/>
    </row>
    <row r="23" spans="1:10">
      <c r="B23" s="223"/>
      <c r="C23" s="223"/>
      <c r="D23" s="223"/>
      <c r="E23" s="223"/>
      <c r="F23" s="223"/>
      <c r="G23" s="223"/>
      <c r="H23" s="223"/>
    </row>
  </sheetData>
  <mergeCells count="3">
    <mergeCell ref="A1:H1"/>
    <mergeCell ref="A18:H18"/>
    <mergeCell ref="A19:H19"/>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Z23"/>
  <sheetViews>
    <sheetView showGridLines="0" workbookViewId="0">
      <selection activeCell="H18" sqref="H18"/>
    </sheetView>
  </sheetViews>
  <sheetFormatPr defaultRowHeight="15"/>
  <cols>
    <col min="1" max="1" width="13.140625" style="6" customWidth="1"/>
    <col min="2" max="16384" width="9.140625" style="6"/>
  </cols>
  <sheetData>
    <row r="1" spans="1:52" ht="42" customHeight="1">
      <c r="A1" s="267" t="s">
        <v>187</v>
      </c>
      <c r="B1" s="267"/>
      <c r="C1" s="267"/>
      <c r="D1" s="267"/>
      <c r="E1" s="267"/>
      <c r="F1" s="267"/>
      <c r="G1" s="267"/>
      <c r="H1" s="267"/>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1:52" ht="15.75" customHeight="1">
      <c r="A2" s="48"/>
      <c r="B2" s="48"/>
      <c r="C2" s="48"/>
      <c r="D2" s="48"/>
      <c r="E2" s="48"/>
      <c r="F2" s="48"/>
      <c r="G2" s="49" t="s">
        <v>45</v>
      </c>
      <c r="H2" s="48"/>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row>
    <row r="3" spans="1:52" ht="18.75" customHeight="1">
      <c r="A3" s="42" t="s">
        <v>46</v>
      </c>
      <c r="B3" s="270" t="s">
        <v>47</v>
      </c>
      <c r="C3" s="271"/>
      <c r="D3" s="272"/>
      <c r="E3" s="271" t="s">
        <v>48</v>
      </c>
      <c r="F3" s="271"/>
      <c r="G3" s="271"/>
      <c r="H3" s="273"/>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row>
    <row r="4" spans="1:52" ht="38.25">
      <c r="A4" s="50"/>
      <c r="B4" s="50" t="s">
        <v>49</v>
      </c>
      <c r="C4" s="42" t="s">
        <v>50</v>
      </c>
      <c r="D4" s="50" t="s">
        <v>51</v>
      </c>
      <c r="E4" s="51" t="s">
        <v>52</v>
      </c>
      <c r="F4" s="52" t="s">
        <v>171</v>
      </c>
      <c r="G4" s="42" t="s">
        <v>82</v>
      </c>
      <c r="H4" s="50" t="s">
        <v>172</v>
      </c>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row>
    <row r="5" spans="1:52">
      <c r="A5" s="43">
        <v>1</v>
      </c>
      <c r="B5" s="42">
        <v>2</v>
      </c>
      <c r="C5" s="42">
        <v>3</v>
      </c>
      <c r="D5" s="42">
        <v>4</v>
      </c>
      <c r="E5" s="52">
        <v>5</v>
      </c>
      <c r="F5" s="52">
        <v>6</v>
      </c>
      <c r="G5" s="42">
        <v>7</v>
      </c>
      <c r="H5" s="18">
        <v>8</v>
      </c>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row>
    <row r="6" spans="1:52">
      <c r="A6" s="53" t="s">
        <v>7</v>
      </c>
      <c r="B6" s="72">
        <v>14.3314</v>
      </c>
      <c r="C6" s="72">
        <v>14.1944</v>
      </c>
      <c r="D6" s="72">
        <v>10.676299999999999</v>
      </c>
      <c r="E6" s="72">
        <v>8.9277999999999995</v>
      </c>
      <c r="F6" s="72">
        <v>5.0783999999999994</v>
      </c>
      <c r="G6" s="72">
        <v>60.071100000000001</v>
      </c>
      <c r="H6" s="72">
        <v>0.45530000000000004</v>
      </c>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row>
    <row r="7" spans="1:52">
      <c r="A7" s="53" t="s">
        <v>8</v>
      </c>
      <c r="B7" s="73">
        <v>15.3497</v>
      </c>
      <c r="C7" s="73">
        <v>14.9924</v>
      </c>
      <c r="D7" s="73">
        <v>11.221500000000001</v>
      </c>
      <c r="E7" s="73">
        <v>8.2286999999999999</v>
      </c>
      <c r="F7" s="73">
        <v>5.5361000000000002</v>
      </c>
      <c r="G7" s="73">
        <v>64.75</v>
      </c>
      <c r="H7" s="73">
        <v>0.4148</v>
      </c>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row>
    <row r="8" spans="1:52">
      <c r="A8" s="54" t="s">
        <v>1</v>
      </c>
      <c r="B8" s="73">
        <v>15.600700000000002</v>
      </c>
      <c r="C8" s="73">
        <v>15.7439</v>
      </c>
      <c r="D8" s="73">
        <v>12.289400000000002</v>
      </c>
      <c r="E8" s="73">
        <v>7.5015000000000001</v>
      </c>
      <c r="F8" s="73">
        <v>5.2705000000000002</v>
      </c>
      <c r="G8" s="73">
        <v>69.079900000000009</v>
      </c>
      <c r="H8" s="73">
        <v>0.39850000000000002</v>
      </c>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X8" s="6">
        <f t="shared" ref="AX8:AX17" si="0">IF(AQ8=F6,1,0)</f>
        <v>0</v>
      </c>
      <c r="AY8" s="6">
        <f t="shared" ref="AY8:AY17" si="1">IF(AR8=G6,1,0)</f>
        <v>0</v>
      </c>
      <c r="AZ8" s="6">
        <f t="shared" ref="AZ8:AZ17" si="2">IF(AS8=H6,1,0)</f>
        <v>0</v>
      </c>
    </row>
    <row r="9" spans="1:52">
      <c r="A9" s="53" t="s">
        <v>2</v>
      </c>
      <c r="B9" s="74">
        <v>16.293648826000002</v>
      </c>
      <c r="C9" s="74">
        <v>17.12825591</v>
      </c>
      <c r="D9" s="74">
        <v>11.30520265</v>
      </c>
      <c r="E9" s="73">
        <v>7.1647700400000014</v>
      </c>
      <c r="F9" s="73">
        <v>5.5045869000000005</v>
      </c>
      <c r="G9" s="73">
        <v>68.363923710000009</v>
      </c>
      <c r="H9" s="73">
        <v>0.38631653999999993</v>
      </c>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X9" s="6">
        <f t="shared" si="0"/>
        <v>0</v>
      </c>
      <c r="AY9" s="6">
        <f t="shared" si="1"/>
        <v>0</v>
      </c>
      <c r="AZ9" s="6">
        <f t="shared" si="2"/>
        <v>0</v>
      </c>
    </row>
    <row r="10" spans="1:52">
      <c r="A10" s="53" t="s">
        <v>3</v>
      </c>
      <c r="B10" s="74">
        <v>18.000102374999997</v>
      </c>
      <c r="C10" s="74">
        <v>19.075402440000001</v>
      </c>
      <c r="D10" s="74">
        <v>11.082028709999999</v>
      </c>
      <c r="E10" s="75">
        <v>7.0867181900000018</v>
      </c>
      <c r="F10" s="75">
        <v>5.7228986299999995</v>
      </c>
      <c r="G10" s="75">
        <v>69.416220119999977</v>
      </c>
      <c r="H10" s="75">
        <v>0.36526344999999993</v>
      </c>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X10" s="6">
        <f t="shared" si="0"/>
        <v>0</v>
      </c>
      <c r="AY10" s="6">
        <f t="shared" si="1"/>
        <v>0</v>
      </c>
      <c r="AZ10" s="6">
        <f t="shared" si="2"/>
        <v>0</v>
      </c>
    </row>
    <row r="11" spans="1:52">
      <c r="A11" s="53" t="s">
        <v>20</v>
      </c>
      <c r="B11" s="74">
        <v>19.623222261999999</v>
      </c>
      <c r="C11" s="74">
        <v>21.846630900000008</v>
      </c>
      <c r="D11" s="74">
        <v>13.270841390000001</v>
      </c>
      <c r="E11" s="75">
        <v>6.826306589999998</v>
      </c>
      <c r="F11" s="75">
        <v>6.2617449199999999</v>
      </c>
      <c r="G11" s="75">
        <v>74.647072010000002</v>
      </c>
      <c r="H11" s="75">
        <v>0.40710755999999992</v>
      </c>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X11" s="6">
        <f t="shared" si="0"/>
        <v>0</v>
      </c>
      <c r="AY11" s="6">
        <f t="shared" si="1"/>
        <v>0</v>
      </c>
      <c r="AZ11" s="6">
        <f t="shared" si="2"/>
        <v>0</v>
      </c>
    </row>
    <row r="12" spans="1:52">
      <c r="A12" s="53" t="s">
        <v>23</v>
      </c>
      <c r="B12" s="74">
        <v>21.608210237999991</v>
      </c>
      <c r="C12" s="74">
        <v>23.764934030000013</v>
      </c>
      <c r="D12" s="74">
        <v>13.24078059</v>
      </c>
      <c r="E12" s="75">
        <v>5.3968133900000144</v>
      </c>
      <c r="F12" s="75">
        <v>6.9975149700000019</v>
      </c>
      <c r="G12" s="75">
        <v>76.026571259999741</v>
      </c>
      <c r="H12" s="75">
        <v>0.44898441000000006</v>
      </c>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X12" s="6">
        <f t="shared" si="0"/>
        <v>0</v>
      </c>
      <c r="AY12" s="6">
        <f t="shared" si="1"/>
        <v>0</v>
      </c>
      <c r="AZ12" s="6">
        <f t="shared" si="2"/>
        <v>0</v>
      </c>
    </row>
    <row r="13" spans="1:52">
      <c r="A13" s="53" t="s">
        <v>24</v>
      </c>
      <c r="B13" s="74">
        <v>23.341821038999992</v>
      </c>
      <c r="C13" s="74">
        <v>26.174478359999984</v>
      </c>
      <c r="D13" s="74">
        <v>12.88860699</v>
      </c>
      <c r="E13" s="75">
        <v>3.8451181100000125</v>
      </c>
      <c r="F13" s="75">
        <v>7.6326844000000005</v>
      </c>
      <c r="G13" s="75">
        <v>81.07343645999967</v>
      </c>
      <c r="H13" s="75">
        <v>0.52378751999999995</v>
      </c>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X13" s="6">
        <f t="shared" si="0"/>
        <v>0</v>
      </c>
      <c r="AY13" s="6">
        <f t="shared" si="1"/>
        <v>0</v>
      </c>
      <c r="AZ13" s="6">
        <f t="shared" si="2"/>
        <v>0</v>
      </c>
    </row>
    <row r="14" spans="1:52">
      <c r="A14" s="53" t="s">
        <v>35</v>
      </c>
      <c r="B14" s="74">
        <v>24.906798505999998</v>
      </c>
      <c r="C14" s="74">
        <v>28.284404870000003</v>
      </c>
      <c r="D14" s="74">
        <v>14.131231639999999</v>
      </c>
      <c r="E14" s="75">
        <v>3.4594640899999916</v>
      </c>
      <c r="F14" s="75">
        <v>8.3000663400000008</v>
      </c>
      <c r="G14" s="75">
        <v>83.52816559999988</v>
      </c>
      <c r="H14" s="75">
        <v>0.59796794000000009</v>
      </c>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X14" s="6">
        <f t="shared" si="0"/>
        <v>0</v>
      </c>
      <c r="AY14" s="6">
        <f t="shared" si="1"/>
        <v>0</v>
      </c>
      <c r="AZ14" s="6">
        <f t="shared" si="2"/>
        <v>0</v>
      </c>
    </row>
    <row r="15" spans="1:52">
      <c r="A15" s="55" t="s">
        <v>31</v>
      </c>
      <c r="B15" s="76">
        <v>26.329779999007101</v>
      </c>
      <c r="C15" s="76">
        <v>29.975488406249024</v>
      </c>
      <c r="D15" s="76">
        <v>14.267778782545454</v>
      </c>
      <c r="E15" s="77">
        <v>2.3968245022973034</v>
      </c>
      <c r="F15" s="77">
        <v>7.9986090355175374</v>
      </c>
      <c r="G15" s="77">
        <v>82.602012505446794</v>
      </c>
      <c r="H15" s="77">
        <v>0.62779954463993237</v>
      </c>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44"/>
      <c r="AJ15" s="44">
        <f>G15+H15</f>
        <v>83.229812050086721</v>
      </c>
      <c r="AX15" s="6">
        <f t="shared" si="0"/>
        <v>0</v>
      </c>
      <c r="AY15" s="6">
        <f t="shared" si="1"/>
        <v>0</v>
      </c>
      <c r="AZ15" s="6">
        <f t="shared" si="2"/>
        <v>0</v>
      </c>
    </row>
    <row r="16" spans="1:52" ht="36.75" customHeight="1">
      <c r="A16" s="69" t="s">
        <v>53</v>
      </c>
      <c r="B16" s="214">
        <f>B15/'6.5 (Contd.)'!$G$17*100</f>
        <v>12.296359605320655</v>
      </c>
      <c r="C16" s="214">
        <f>C15/'6.5 (Contd.)'!$G$17*100</f>
        <v>13.998954218465084</v>
      </c>
      <c r="D16" s="214">
        <f>D15/'6.5 (Contd.)'!$G$17*100</f>
        <v>6.6632436232265873</v>
      </c>
      <c r="E16" s="214">
        <f>E15/'6.5 (Contd.)'!$G$17*100</f>
        <v>1.1193491169391747</v>
      </c>
      <c r="F16" s="214">
        <f>F15/'6.5 (Contd.)'!$G$17*100</f>
        <v>3.7354574571758512</v>
      </c>
      <c r="G16" s="214">
        <f>G15/'6.5 (Contd.)'!$G$17*100</f>
        <v>38.576245222271879</v>
      </c>
      <c r="H16" s="214">
        <f>H15/'6.5 (Contd.)'!$G$17*100</f>
        <v>0.29319078857629172</v>
      </c>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44"/>
      <c r="AJ16" s="44"/>
      <c r="AX16" s="6">
        <f t="shared" si="0"/>
        <v>0</v>
      </c>
      <c r="AY16" s="6">
        <f t="shared" si="1"/>
        <v>0</v>
      </c>
      <c r="AZ16" s="6">
        <f t="shared" si="2"/>
        <v>0</v>
      </c>
    </row>
    <row r="17" spans="1:52" ht="42" customHeight="1">
      <c r="A17" s="22" t="s">
        <v>32</v>
      </c>
      <c r="B17" s="8">
        <f t="shared" ref="B17:H17" si="3">((B15-B14)/B14)*100</f>
        <v>5.7132252170599536</v>
      </c>
      <c r="C17" s="8">
        <f t="shared" si="3"/>
        <v>5.9788549344472068</v>
      </c>
      <c r="D17" s="8">
        <f t="shared" si="3"/>
        <v>0.96627913280356326</v>
      </c>
      <c r="E17" s="8">
        <f t="shared" si="3"/>
        <v>-30.716884467001094</v>
      </c>
      <c r="F17" s="8">
        <f t="shared" si="3"/>
        <v>-3.6319866870180135</v>
      </c>
      <c r="G17" s="8">
        <f t="shared" si="3"/>
        <v>-1.1087913734251669</v>
      </c>
      <c r="H17" s="8">
        <f t="shared" si="3"/>
        <v>4.9888301101781947</v>
      </c>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X17" s="6">
        <f t="shared" si="0"/>
        <v>0</v>
      </c>
      <c r="AY17" s="6">
        <f t="shared" si="1"/>
        <v>0</v>
      </c>
      <c r="AZ17" s="6">
        <f t="shared" si="2"/>
        <v>0</v>
      </c>
    </row>
    <row r="18" spans="1:52" ht="38.25">
      <c r="A18" s="22" t="s">
        <v>33</v>
      </c>
      <c r="B18" s="9">
        <f>((B15/B6)^(1/9)-1)*100</f>
        <v>6.9919140477603392</v>
      </c>
      <c r="C18" s="9">
        <f t="shared" ref="C18:H18" si="4">((C15/C6)^(1/9)-1)*100</f>
        <v>8.660609436078559</v>
      </c>
      <c r="D18" s="9">
        <f t="shared" si="4"/>
        <v>3.2744389396252016</v>
      </c>
      <c r="E18" s="9">
        <f t="shared" si="4"/>
        <v>-13.59407347811057</v>
      </c>
      <c r="F18" s="9">
        <f t="shared" si="4"/>
        <v>5.1770148597647614</v>
      </c>
      <c r="G18" s="9">
        <f t="shared" si="4"/>
        <v>3.6023124872037071</v>
      </c>
      <c r="H18" s="9">
        <f t="shared" si="4"/>
        <v>3.6340794391779063</v>
      </c>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row>
    <row r="19" spans="1:52">
      <c r="A19" s="59" t="s">
        <v>54</v>
      </c>
      <c r="B19" s="60"/>
      <c r="C19" s="60"/>
      <c r="D19" s="60"/>
      <c r="E19" s="60"/>
      <c r="F19" s="60"/>
      <c r="G19" s="60"/>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row>
    <row r="20" spans="1:52">
      <c r="A20" s="59" t="s">
        <v>174</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row>
    <row r="21" spans="1:52">
      <c r="A21" s="59" t="s">
        <v>55</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3" spans="1:5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sheetData>
  <mergeCells count="3">
    <mergeCell ref="A1:H1"/>
    <mergeCell ref="B3:D3"/>
    <mergeCell ref="E3:H3"/>
  </mergeCells>
  <pageMargins left="0.7" right="0.7" top="0.75" bottom="0.75" header="0.3" footer="0.3"/>
  <pageSetup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showGridLines="0" workbookViewId="0">
      <selection activeCell="X15" sqref="X15"/>
    </sheetView>
  </sheetViews>
  <sheetFormatPr defaultRowHeight="15"/>
  <cols>
    <col min="1" max="1" width="13.5703125" style="11" customWidth="1"/>
    <col min="2" max="2" width="9.5703125" style="11" customWidth="1"/>
    <col min="3" max="5" width="9.140625" style="11"/>
    <col min="6" max="6" width="9.140625" style="11" customWidth="1"/>
    <col min="7" max="7" width="11.7109375" style="11" customWidth="1"/>
    <col min="8" max="8" width="9.140625" style="11"/>
    <col min="9" max="10" width="11.7109375" style="11" customWidth="1"/>
    <col min="11" max="16384" width="9.140625" style="11"/>
  </cols>
  <sheetData>
    <row r="1" spans="1:10" ht="15" customHeight="1">
      <c r="A1" s="267" t="s">
        <v>188</v>
      </c>
      <c r="B1" s="267"/>
      <c r="C1" s="267"/>
      <c r="D1" s="267"/>
      <c r="E1" s="267"/>
      <c r="F1" s="267"/>
      <c r="G1" s="267"/>
      <c r="H1" s="267"/>
      <c r="I1" s="267"/>
    </row>
    <row r="2" spans="1:10" ht="24.75" customHeight="1">
      <c r="A2" s="267"/>
      <c r="B2" s="267"/>
      <c r="C2" s="267"/>
      <c r="D2" s="267"/>
      <c r="E2" s="267"/>
      <c r="F2" s="267"/>
      <c r="G2" s="267"/>
      <c r="H2" s="267"/>
      <c r="I2" s="267"/>
    </row>
    <row r="3" spans="1:10" ht="12.75" customHeight="1">
      <c r="A3" s="49"/>
      <c r="B3" s="49"/>
      <c r="C3" s="49"/>
      <c r="D3" s="49"/>
      <c r="E3" s="49"/>
      <c r="H3" s="61" t="s">
        <v>56</v>
      </c>
    </row>
    <row r="4" spans="1:10" ht="18" customHeight="1">
      <c r="A4" s="62" t="s">
        <v>46</v>
      </c>
      <c r="B4" s="274" t="s">
        <v>57</v>
      </c>
      <c r="C4" s="275"/>
      <c r="D4" s="275"/>
      <c r="E4" s="276"/>
      <c r="F4" s="277" t="s">
        <v>58</v>
      </c>
      <c r="G4" s="280" t="s">
        <v>59</v>
      </c>
      <c r="H4" s="280" t="s">
        <v>60</v>
      </c>
      <c r="I4" s="280" t="s">
        <v>61</v>
      </c>
      <c r="J4" s="45"/>
    </row>
    <row r="5" spans="1:10" ht="16.5" customHeight="1">
      <c r="A5" s="63"/>
      <c r="B5" s="283" t="s">
        <v>62</v>
      </c>
      <c r="C5" s="186" t="s">
        <v>63</v>
      </c>
      <c r="D5" s="186" t="s">
        <v>64</v>
      </c>
      <c r="E5" s="280" t="s">
        <v>173</v>
      </c>
      <c r="F5" s="278"/>
      <c r="G5" s="281"/>
      <c r="H5" s="281"/>
      <c r="I5" s="281"/>
      <c r="J5" s="45"/>
    </row>
    <row r="6" spans="1:10" ht="21" customHeight="1">
      <c r="A6" s="64"/>
      <c r="B6" s="284"/>
      <c r="C6" s="195"/>
      <c r="D6" s="195"/>
      <c r="E6" s="282"/>
      <c r="F6" s="279"/>
      <c r="G6" s="282"/>
      <c r="H6" s="282"/>
      <c r="I6" s="282"/>
      <c r="J6" s="45"/>
    </row>
    <row r="7" spans="1:10">
      <c r="A7" s="65"/>
      <c r="B7" s="62">
        <v>9</v>
      </c>
      <c r="C7" s="62">
        <v>10</v>
      </c>
      <c r="D7" s="62">
        <v>11</v>
      </c>
      <c r="E7" s="62">
        <v>13</v>
      </c>
      <c r="F7" s="79">
        <v>14</v>
      </c>
      <c r="G7" s="62" t="s">
        <v>65</v>
      </c>
      <c r="H7" s="62">
        <v>16</v>
      </c>
      <c r="I7" s="62">
        <v>17</v>
      </c>
      <c r="J7" s="46"/>
    </row>
    <row r="8" spans="1:10">
      <c r="A8" s="54" t="s">
        <v>7</v>
      </c>
      <c r="B8" s="72">
        <v>10.789200000000001</v>
      </c>
      <c r="C8" s="72">
        <v>2.4291999999999998</v>
      </c>
      <c r="D8" s="72">
        <v>4.5356000000000005</v>
      </c>
      <c r="E8" s="72">
        <v>4.9823999999999993</v>
      </c>
      <c r="F8" s="72">
        <v>4.57</v>
      </c>
      <c r="G8" s="72">
        <v>141.0403</v>
      </c>
      <c r="H8" s="72">
        <v>16.381308999999998</v>
      </c>
      <c r="I8" s="72">
        <v>157.42240899999999</v>
      </c>
      <c r="J8" s="66"/>
    </row>
    <row r="9" spans="1:10">
      <c r="A9" s="54" t="s">
        <v>8</v>
      </c>
      <c r="B9" s="73">
        <v>9.3065999999999995</v>
      </c>
      <c r="C9" s="73">
        <v>2.6326000000000001</v>
      </c>
      <c r="D9" s="73">
        <v>4.6381000000000006</v>
      </c>
      <c r="E9" s="73">
        <v>6.1376999999999997</v>
      </c>
      <c r="F9" s="73">
        <v>4.92</v>
      </c>
      <c r="G9" s="73">
        <v>148.13210000000001</v>
      </c>
      <c r="H9" s="73">
        <v>17.294719600000001</v>
      </c>
      <c r="I9" s="73">
        <v>165.42291960000003</v>
      </c>
      <c r="J9" s="66"/>
    </row>
    <row r="10" spans="1:10">
      <c r="A10" s="54" t="s">
        <v>1</v>
      </c>
      <c r="B10" s="73">
        <v>7.6563999999999997</v>
      </c>
      <c r="C10" s="73">
        <v>3.1959999999999997</v>
      </c>
      <c r="D10" s="73">
        <v>4.676000000000001</v>
      </c>
      <c r="E10" s="73">
        <v>10.1348</v>
      </c>
      <c r="F10" s="73">
        <v>5.51</v>
      </c>
      <c r="G10" s="73">
        <v>157.05670000000001</v>
      </c>
      <c r="H10" s="73">
        <v>18.347203</v>
      </c>
      <c r="I10" s="73">
        <v>175.40480299999999</v>
      </c>
      <c r="J10" s="66"/>
    </row>
    <row r="11" spans="1:10">
      <c r="A11" s="54" t="s">
        <v>2</v>
      </c>
      <c r="B11" s="73">
        <v>6.2356722999999992</v>
      </c>
      <c r="C11" s="73">
        <v>3.3053054350000002</v>
      </c>
      <c r="D11" s="73">
        <v>5.0069575500000001</v>
      </c>
      <c r="E11" s="73">
        <v>11.755777878</v>
      </c>
      <c r="F11" s="73">
        <v>5.96</v>
      </c>
      <c r="G11" s="73">
        <v>158.40685352</v>
      </c>
      <c r="H11" s="73">
        <v>17.867549999999998</v>
      </c>
      <c r="I11" s="73">
        <v>176.27440351999999</v>
      </c>
      <c r="J11" s="66"/>
    </row>
    <row r="12" spans="1:10">
      <c r="A12" s="54" t="s">
        <v>3</v>
      </c>
      <c r="B12" s="73">
        <v>5.9608562199999984</v>
      </c>
      <c r="C12" s="73">
        <v>3.3100125299999998</v>
      </c>
      <c r="D12" s="73">
        <v>5.0728328610000011</v>
      </c>
      <c r="E12" s="73">
        <v>14.557450646000001</v>
      </c>
      <c r="F12" s="73">
        <v>5.87</v>
      </c>
      <c r="G12" s="73">
        <v>165.52011833799997</v>
      </c>
      <c r="H12" s="73">
        <v>17.669</v>
      </c>
      <c r="I12" s="73">
        <v>183.18911833799996</v>
      </c>
      <c r="J12" s="66"/>
    </row>
    <row r="13" spans="1:10">
      <c r="A13" s="54" t="s">
        <v>20</v>
      </c>
      <c r="B13" s="73">
        <v>6.6323055200000001</v>
      </c>
      <c r="C13" s="73">
        <v>3.5711606000000002</v>
      </c>
      <c r="D13" s="73">
        <v>5.9379387530000001</v>
      </c>
      <c r="E13" s="73">
        <v>19.297422278999999</v>
      </c>
      <c r="F13" s="73">
        <v>6.35</v>
      </c>
      <c r="G13" s="73">
        <v>184.673902777</v>
      </c>
      <c r="H13" s="73">
        <v>18.772737999999997</v>
      </c>
      <c r="I13" s="73">
        <v>203.446640777</v>
      </c>
      <c r="J13" s="66"/>
    </row>
    <row r="14" spans="1:10">
      <c r="A14" s="54" t="s">
        <v>23</v>
      </c>
      <c r="B14" s="73">
        <v>7.1504293600000022</v>
      </c>
      <c r="C14" s="73">
        <v>3.4700676399999999</v>
      </c>
      <c r="D14" s="73">
        <v>5.9355010179999983</v>
      </c>
      <c r="E14" s="73">
        <v>23.963986064999997</v>
      </c>
      <c r="F14" s="73">
        <v>6.59</v>
      </c>
      <c r="G14" s="73">
        <v>194.59726743199977</v>
      </c>
      <c r="H14" s="73">
        <v>20.069702999999997</v>
      </c>
      <c r="I14" s="73">
        <v>214.66697043199977</v>
      </c>
      <c r="J14" s="66"/>
    </row>
    <row r="15" spans="1:10">
      <c r="A15" s="54" t="s">
        <v>24</v>
      </c>
      <c r="B15" s="73">
        <v>6.7209720400000021</v>
      </c>
      <c r="C15" s="73">
        <v>3.8838833120000005</v>
      </c>
      <c r="D15" s="73">
        <v>6.0858515270000009</v>
      </c>
      <c r="E15" s="73">
        <v>25.656728722</v>
      </c>
      <c r="F15" s="73">
        <v>8.34</v>
      </c>
      <c r="G15" s="73">
        <v>206.16616683999962</v>
      </c>
      <c r="H15" s="73">
        <v>21.163692999999999</v>
      </c>
      <c r="I15" s="73">
        <v>227.32985983999961</v>
      </c>
      <c r="J15" s="66"/>
    </row>
    <row r="16" spans="1:10">
      <c r="A16" s="54" t="s">
        <v>35</v>
      </c>
      <c r="B16" s="73">
        <v>6.5635703500000009</v>
      </c>
      <c r="C16" s="73">
        <v>3.6679544489999989</v>
      </c>
      <c r="D16" s="73">
        <v>6.7076970449999997</v>
      </c>
      <c r="E16" s="73">
        <v>21.345929281000004</v>
      </c>
      <c r="F16" s="73">
        <v>11.72</v>
      </c>
      <c r="G16" s="73">
        <v>213.21629837699987</v>
      </c>
      <c r="H16" s="73">
        <v>21.453662000000001</v>
      </c>
      <c r="I16" s="73">
        <v>234.66996037699988</v>
      </c>
      <c r="J16" s="66"/>
    </row>
    <row r="17" spans="1:10">
      <c r="A17" s="68" t="s">
        <v>31</v>
      </c>
      <c r="B17" s="78">
        <v>6.3015391187900951</v>
      </c>
      <c r="C17" s="78">
        <v>3.8333877818922595</v>
      </c>
      <c r="D17" s="78">
        <v>6.7203688499999981</v>
      </c>
      <c r="E17" s="78">
        <v>21.708158825000005</v>
      </c>
      <c r="F17" s="78">
        <v>11.36</v>
      </c>
      <c r="G17" s="78">
        <v>214.12662644978408</v>
      </c>
      <c r="H17" s="78">
        <v>23.509948000000001</v>
      </c>
      <c r="I17" s="78">
        <v>237.63657444978409</v>
      </c>
      <c r="J17" s="66"/>
    </row>
    <row r="18" spans="1:10" ht="33" customHeight="1">
      <c r="A18" s="69" t="s">
        <v>53</v>
      </c>
      <c r="B18" s="56">
        <f>B17/'6.5 (Contd.)'!$G$17*100</f>
        <v>2.9429030958314288</v>
      </c>
      <c r="C18" s="56">
        <f>C17/'6.5 (Contd.)'!$G$17*100</f>
        <v>1.7902433926362944</v>
      </c>
      <c r="D18" s="56">
        <f>D17/'6.5 (Contd.)'!$G$17*100</f>
        <v>3.1385021850965487</v>
      </c>
      <c r="E18" s="56">
        <f>E17/'6.5 (Contd.)'!$G$17*100</f>
        <v>10.138000670407468</v>
      </c>
      <c r="F18" s="56">
        <f>F17/'6.5 (Contd.)'!$G$17*100</f>
        <v>5.3052720198083776</v>
      </c>
      <c r="G18" s="56">
        <f>G17/'6.5 (Contd.)'!$G$17*100</f>
        <v>100</v>
      </c>
      <c r="H18" s="70" t="s">
        <v>66</v>
      </c>
      <c r="I18" s="70" t="s">
        <v>66</v>
      </c>
      <c r="J18" s="66"/>
    </row>
    <row r="19" spans="1:10" ht="47.25" customHeight="1">
      <c r="A19" s="22" t="s">
        <v>32</v>
      </c>
      <c r="B19" s="57">
        <f t="shared" ref="B19:I19" si="0">((B17-B16)/B16)*100</f>
        <v>-3.9922057239762156</v>
      </c>
      <c r="C19" s="57">
        <f t="shared" si="0"/>
        <v>4.510234115294506</v>
      </c>
      <c r="D19" s="57">
        <f t="shared" si="0"/>
        <v>0.1889143906617553</v>
      </c>
      <c r="E19" s="57">
        <f t="shared" si="0"/>
        <v>1.6969490493085344</v>
      </c>
      <c r="F19" s="57">
        <f t="shared" si="0"/>
        <v>-3.0716723549488156</v>
      </c>
      <c r="G19" s="57">
        <f t="shared" si="0"/>
        <v>0.42695050974696486</v>
      </c>
      <c r="H19" s="57">
        <f t="shared" si="0"/>
        <v>9.5847785799925429</v>
      </c>
      <c r="I19" s="70">
        <f t="shared" si="0"/>
        <v>1.2641643898598323</v>
      </c>
      <c r="J19" s="10"/>
    </row>
    <row r="20" spans="1:10" ht="44.25" customHeight="1">
      <c r="A20" s="22" t="s">
        <v>33</v>
      </c>
      <c r="B20" s="58">
        <f>((B17/B8)^(1/9)-1)*100</f>
        <v>-5.8000176469530818</v>
      </c>
      <c r="C20" s="58">
        <f t="shared" ref="C20:I20" si="1">((C17/C8)^(1/9)-1)*100</f>
        <v>5.1994031283499886</v>
      </c>
      <c r="D20" s="58">
        <f t="shared" si="1"/>
        <v>4.4655635615363121</v>
      </c>
      <c r="E20" s="58">
        <f t="shared" si="1"/>
        <v>17.766153107816884</v>
      </c>
      <c r="F20" s="58">
        <f t="shared" si="1"/>
        <v>10.647151214801198</v>
      </c>
      <c r="G20" s="58">
        <f t="shared" si="1"/>
        <v>4.7484233141721122</v>
      </c>
      <c r="H20" s="58">
        <f t="shared" si="1"/>
        <v>4.0959118913009407</v>
      </c>
      <c r="I20" s="58">
        <f t="shared" si="1"/>
        <v>4.681963208513551</v>
      </c>
      <c r="J20" s="10"/>
    </row>
    <row r="21" spans="1:10">
      <c r="A21" s="59" t="s">
        <v>67</v>
      </c>
      <c r="B21" s="59" t="s">
        <v>68</v>
      </c>
      <c r="C21" s="59"/>
      <c r="D21" s="59"/>
      <c r="E21" s="59"/>
      <c r="F21" s="59"/>
      <c r="G21" s="59"/>
    </row>
    <row r="22" spans="1:10">
      <c r="A22" s="59" t="s">
        <v>69</v>
      </c>
      <c r="B22" s="59"/>
      <c r="C22" s="59"/>
      <c r="D22" s="59"/>
      <c r="E22" s="59"/>
      <c r="F22" s="59"/>
      <c r="G22" s="59"/>
    </row>
    <row r="23" spans="1:10">
      <c r="A23" s="59" t="s">
        <v>55</v>
      </c>
      <c r="B23" s="59"/>
      <c r="C23" s="59"/>
      <c r="D23" s="59"/>
      <c r="E23" s="59"/>
      <c r="F23" s="59"/>
      <c r="G23" s="59"/>
    </row>
    <row r="24" spans="1:10">
      <c r="A24" s="71" t="s">
        <v>70</v>
      </c>
      <c r="B24" s="59"/>
      <c r="C24" s="59"/>
      <c r="D24" s="59"/>
      <c r="E24" s="59"/>
      <c r="F24" s="59"/>
      <c r="G24" s="59"/>
    </row>
  </sheetData>
  <mergeCells count="8">
    <mergeCell ref="A1:I2"/>
    <mergeCell ref="B4:E4"/>
    <mergeCell ref="F4:F6"/>
    <mergeCell ref="G4:G6"/>
    <mergeCell ref="H4:H6"/>
    <mergeCell ref="I4:I6"/>
    <mergeCell ref="B5:B6"/>
    <mergeCell ref="E5:E6"/>
  </mergeCell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8"/>
  <sheetViews>
    <sheetView showGridLines="0" topLeftCell="A10" workbookViewId="0">
      <selection activeCell="M15" sqref="M15"/>
    </sheetView>
  </sheetViews>
  <sheetFormatPr defaultRowHeight="15"/>
  <cols>
    <col min="1" max="1" width="11.140625" style="11" customWidth="1"/>
    <col min="2" max="2" width="9.28515625" style="11" customWidth="1"/>
    <col min="3" max="3" width="9.140625" style="11"/>
    <col min="4" max="4" width="10.85546875" style="11" customWidth="1"/>
    <col min="5" max="5" width="10" style="11" customWidth="1"/>
    <col min="6" max="14" width="9.140625" style="11"/>
    <col min="15" max="15" width="19" style="11" customWidth="1"/>
    <col min="16" max="16384" width="9.140625" style="11"/>
  </cols>
  <sheetData>
    <row r="1" spans="1:14" ht="15" customHeight="1">
      <c r="A1" s="267" t="s">
        <v>189</v>
      </c>
      <c r="B1" s="267"/>
      <c r="C1" s="267"/>
      <c r="D1" s="267"/>
      <c r="E1" s="267"/>
      <c r="F1" s="267"/>
      <c r="G1" s="267"/>
      <c r="H1" s="267"/>
      <c r="I1" s="267"/>
      <c r="J1" s="267"/>
      <c r="K1" s="267"/>
    </row>
    <row r="2" spans="1:14" ht="15" customHeight="1">
      <c r="A2" s="288"/>
      <c r="B2" s="288"/>
      <c r="C2" s="288"/>
      <c r="D2" s="288"/>
      <c r="E2" s="288"/>
      <c r="F2" s="288"/>
      <c r="G2" s="288"/>
      <c r="H2" s="288"/>
      <c r="I2" s="288"/>
      <c r="J2" s="288"/>
      <c r="K2" s="288"/>
    </row>
    <row r="3" spans="1:14" ht="15" customHeight="1">
      <c r="A3" s="288"/>
      <c r="B3" s="288"/>
      <c r="C3" s="288"/>
      <c r="D3" s="288"/>
      <c r="E3" s="288"/>
      <c r="F3" s="288"/>
      <c r="G3" s="288"/>
      <c r="H3" s="288"/>
      <c r="I3" s="288"/>
      <c r="J3" s="288"/>
      <c r="K3" s="288"/>
    </row>
    <row r="4" spans="1:14" ht="15.75">
      <c r="A4" s="82"/>
      <c r="B4" s="83"/>
      <c r="C4" s="83"/>
      <c r="D4" s="83"/>
      <c r="E4" s="83"/>
      <c r="F4" s="83"/>
      <c r="G4" s="83"/>
      <c r="H4" s="84"/>
      <c r="I4" s="85"/>
      <c r="J4" s="85"/>
      <c r="K4" s="86" t="s">
        <v>71</v>
      </c>
    </row>
    <row r="5" spans="1:14" ht="38.25">
      <c r="A5" s="87" t="s">
        <v>72</v>
      </c>
      <c r="B5" s="88" t="s">
        <v>4</v>
      </c>
      <c r="C5" s="89" t="s">
        <v>73</v>
      </c>
      <c r="D5" s="89" t="s">
        <v>74</v>
      </c>
      <c r="E5" s="89" t="s">
        <v>75</v>
      </c>
      <c r="F5" s="89" t="s">
        <v>76</v>
      </c>
      <c r="G5" s="89" t="s">
        <v>77</v>
      </c>
      <c r="H5" s="89" t="s">
        <v>78</v>
      </c>
      <c r="I5" s="89" t="s">
        <v>79</v>
      </c>
      <c r="J5" s="88" t="s">
        <v>80</v>
      </c>
      <c r="K5" s="90" t="s">
        <v>0</v>
      </c>
    </row>
    <row r="6" spans="1:14">
      <c r="A6" s="15">
        <v>1</v>
      </c>
      <c r="B6" s="25">
        <v>2</v>
      </c>
      <c r="C6" s="7">
        <v>3</v>
      </c>
      <c r="D6" s="7">
        <v>4</v>
      </c>
      <c r="E6" s="7">
        <v>5</v>
      </c>
      <c r="F6" s="7">
        <v>6</v>
      </c>
      <c r="G6" s="7">
        <v>7</v>
      </c>
      <c r="H6" s="7">
        <v>8</v>
      </c>
      <c r="I6" s="15">
        <v>9</v>
      </c>
      <c r="J6" s="91">
        <v>10</v>
      </c>
      <c r="K6" s="91" t="s">
        <v>81</v>
      </c>
    </row>
    <row r="7" spans="1:14" ht="16.5" customHeight="1">
      <c r="A7" s="289" t="s">
        <v>82</v>
      </c>
      <c r="B7" s="92" t="s">
        <v>7</v>
      </c>
      <c r="C7" s="93">
        <v>5416.6402999999991</v>
      </c>
      <c r="D7" s="93">
        <v>615.64105000000006</v>
      </c>
      <c r="E7" s="93">
        <v>165.78301999999999</v>
      </c>
      <c r="F7" s="93">
        <v>1440.03694</v>
      </c>
      <c r="G7" s="93">
        <v>1365.8588</v>
      </c>
      <c r="H7" s="93">
        <v>48703.921000000002</v>
      </c>
      <c r="I7" s="94">
        <f t="shared" ref="I7:I16" si="0">K7-SUM(C7:H7)-J7</f>
        <v>2170.0748899999962</v>
      </c>
      <c r="J7" s="93">
        <v>193.14400000000001</v>
      </c>
      <c r="K7" s="93">
        <v>60071.1</v>
      </c>
      <c r="L7" s="95"/>
      <c r="M7" s="95"/>
    </row>
    <row r="8" spans="1:14" ht="15" customHeight="1">
      <c r="A8" s="290"/>
      <c r="B8" s="92" t="s">
        <v>8</v>
      </c>
      <c r="C8" s="96">
        <v>5528.77322</v>
      </c>
      <c r="D8" s="96">
        <v>683.59327000000008</v>
      </c>
      <c r="E8" s="96">
        <v>168.19925000000001</v>
      </c>
      <c r="F8" s="96">
        <v>1649.15014</v>
      </c>
      <c r="G8" s="96">
        <v>1180.7243100000001</v>
      </c>
      <c r="H8" s="96">
        <v>53207.798000000003</v>
      </c>
      <c r="I8" s="94">
        <f t="shared" si="0"/>
        <v>2262.0218099999965</v>
      </c>
      <c r="J8" s="96">
        <v>69.739999999999995</v>
      </c>
      <c r="K8" s="96">
        <v>64750</v>
      </c>
      <c r="L8" s="95"/>
      <c r="M8" s="95"/>
    </row>
    <row r="9" spans="1:14" ht="15" customHeight="1">
      <c r="A9" s="290"/>
      <c r="B9" s="92" t="s">
        <v>1</v>
      </c>
      <c r="C9" s="96">
        <v>5159.9307100000005</v>
      </c>
      <c r="D9" s="96">
        <v>617.30671999999993</v>
      </c>
      <c r="E9" s="96">
        <v>214.34342999999998</v>
      </c>
      <c r="F9" s="96">
        <v>1627.5856999999999</v>
      </c>
      <c r="G9" s="96">
        <v>1073.27997</v>
      </c>
      <c r="H9" s="96">
        <v>58021.307000000001</v>
      </c>
      <c r="I9" s="94">
        <f t="shared" si="0"/>
        <v>2319.6339999999982</v>
      </c>
      <c r="J9" s="96">
        <v>46.661000000000001</v>
      </c>
      <c r="K9" s="96">
        <v>69080.04853</v>
      </c>
      <c r="L9" s="95"/>
      <c r="M9" s="95"/>
    </row>
    <row r="10" spans="1:14" ht="15" customHeight="1">
      <c r="A10" s="290"/>
      <c r="B10" s="92" t="s">
        <v>2</v>
      </c>
      <c r="C10" s="96">
        <v>3203.0951</v>
      </c>
      <c r="D10" s="96">
        <v>429.24490999999995</v>
      </c>
      <c r="E10" s="96">
        <v>204.41824</v>
      </c>
      <c r="F10" s="96">
        <v>686.92924000000016</v>
      </c>
      <c r="G10" s="96">
        <v>873.11880000000008</v>
      </c>
      <c r="H10" s="96">
        <v>61464.805</v>
      </c>
      <c r="I10" s="94">
        <f t="shared" si="0"/>
        <v>1425.6649999999947</v>
      </c>
      <c r="J10" s="96">
        <v>76.647999999999996</v>
      </c>
      <c r="K10" s="96">
        <v>68363.924289999995</v>
      </c>
      <c r="L10" s="95"/>
      <c r="M10" s="95"/>
    </row>
    <row r="11" spans="1:14" ht="15" customHeight="1">
      <c r="A11" s="290"/>
      <c r="B11" s="92" t="s">
        <v>3</v>
      </c>
      <c r="C11" s="96">
        <v>4617.3856500000002</v>
      </c>
      <c r="D11" s="96">
        <v>574.92831999999999</v>
      </c>
      <c r="E11" s="96">
        <v>197.22754999999998</v>
      </c>
      <c r="F11" s="96">
        <v>793.77347000000009</v>
      </c>
      <c r="G11" s="96">
        <v>998.18002999999999</v>
      </c>
      <c r="H11" s="96">
        <v>60402.935290000001</v>
      </c>
      <c r="I11" s="94">
        <f t="shared" si="0"/>
        <v>1748.3918100000021</v>
      </c>
      <c r="J11" s="96">
        <v>83.397999999999996</v>
      </c>
      <c r="K11" s="96">
        <v>69416.220119999998</v>
      </c>
      <c r="L11" s="95"/>
      <c r="M11" s="95"/>
      <c r="N11" s="97"/>
    </row>
    <row r="12" spans="1:14" ht="15" customHeight="1">
      <c r="A12" s="290"/>
      <c r="B12" s="92" t="s">
        <v>20</v>
      </c>
      <c r="C12" s="96">
        <v>5764.5865900000008</v>
      </c>
      <c r="D12" s="96">
        <v>629.84483</v>
      </c>
      <c r="E12" s="96">
        <v>223.94351</v>
      </c>
      <c r="F12" s="96">
        <v>1095.57647</v>
      </c>
      <c r="G12" s="96">
        <v>1183.74819</v>
      </c>
      <c r="H12" s="96">
        <v>63771.879580000001</v>
      </c>
      <c r="I12" s="94">
        <f t="shared" si="0"/>
        <v>1922.0978400000063</v>
      </c>
      <c r="J12" s="96">
        <v>55.395000000000003</v>
      </c>
      <c r="K12" s="96">
        <v>74647.072010000004</v>
      </c>
      <c r="L12" s="95"/>
      <c r="M12" s="95"/>
    </row>
    <row r="13" spans="1:14" ht="15" customHeight="1">
      <c r="A13" s="290"/>
      <c r="B13" s="92" t="s">
        <v>23</v>
      </c>
      <c r="C13" s="96">
        <v>5657.6440999999995</v>
      </c>
      <c r="D13" s="96">
        <v>607.09077000000002</v>
      </c>
      <c r="E13" s="96">
        <v>208.24892000000003</v>
      </c>
      <c r="F13" s="96">
        <v>1032.69424</v>
      </c>
      <c r="G13" s="96">
        <v>1223.98208</v>
      </c>
      <c r="H13" s="96">
        <v>65089.361720000001</v>
      </c>
      <c r="I13" s="94">
        <f t="shared" si="0"/>
        <v>2161.2914299999993</v>
      </c>
      <c r="J13" s="96">
        <v>46.258000000000003</v>
      </c>
      <c r="K13" s="96">
        <v>76026.571259999997</v>
      </c>
      <c r="L13" s="95"/>
      <c r="M13" s="95"/>
    </row>
    <row r="14" spans="1:14" ht="15" customHeight="1">
      <c r="A14" s="290"/>
      <c r="B14" s="53" t="s">
        <v>24</v>
      </c>
      <c r="C14" s="96">
        <v>5999.1279399999976</v>
      </c>
      <c r="D14" s="96">
        <v>617.99338999999998</v>
      </c>
      <c r="E14" s="96">
        <v>222.79617000000002</v>
      </c>
      <c r="F14" s="96">
        <v>1154.83536</v>
      </c>
      <c r="G14" s="96">
        <v>1255.1106900000007</v>
      </c>
      <c r="H14" s="96">
        <v>69846.396779999981</v>
      </c>
      <c r="I14" s="94">
        <f t="shared" si="0"/>
        <v>1886.9581299999925</v>
      </c>
      <c r="J14" s="96">
        <v>90.218000000000004</v>
      </c>
      <c r="K14" s="96">
        <v>81073.436459999968</v>
      </c>
      <c r="L14" s="95"/>
      <c r="M14" s="95"/>
    </row>
    <row r="15" spans="1:14" ht="15" customHeight="1">
      <c r="A15" s="290"/>
      <c r="B15" s="53" t="s">
        <v>28</v>
      </c>
      <c r="C15" s="96">
        <v>6209.5114397710786</v>
      </c>
      <c r="D15" s="96">
        <v>638.66302707438001</v>
      </c>
      <c r="E15" s="96">
        <v>222.42666858677654</v>
      </c>
      <c r="F15" s="96">
        <v>1263.733635289253</v>
      </c>
      <c r="G15" s="96">
        <v>1465.0200650330585</v>
      </c>
      <c r="H15" s="96">
        <v>71697.177941199858</v>
      </c>
      <c r="I15" s="94">
        <f t="shared" si="0"/>
        <v>1938.159999999986</v>
      </c>
      <c r="J15" s="96">
        <v>93.45</v>
      </c>
      <c r="K15" s="96">
        <v>83528.142776954395</v>
      </c>
      <c r="L15" s="95"/>
      <c r="M15" s="95"/>
    </row>
    <row r="16" spans="1:14" ht="14.25" customHeight="1">
      <c r="A16" s="291"/>
      <c r="B16" s="55" t="s">
        <v>31</v>
      </c>
      <c r="C16" s="98">
        <v>6010.9456039008328</v>
      </c>
      <c r="D16" s="98">
        <v>615.93154431405128</v>
      </c>
      <c r="E16" s="98">
        <v>214.00658034710727</v>
      </c>
      <c r="F16" s="98">
        <v>1334.2919208429755</v>
      </c>
      <c r="G16" s="98">
        <v>1542.0522626942163</v>
      </c>
      <c r="H16" s="98">
        <v>70704.079561889113</v>
      </c>
      <c r="I16" s="94">
        <f t="shared" si="0"/>
        <v>2064.0370894586872</v>
      </c>
      <c r="J16" s="98">
        <v>116.66224200000001</v>
      </c>
      <c r="K16" s="98">
        <v>82602.006805446988</v>
      </c>
      <c r="L16" s="95"/>
      <c r="M16" s="95"/>
    </row>
    <row r="17" spans="1:12" ht="27.75" customHeight="1">
      <c r="A17" s="285" t="s">
        <v>34</v>
      </c>
      <c r="B17" s="286"/>
      <c r="C17" s="207">
        <f>((C16-C15)/C15)*100</f>
        <v>-3.1977690643817573</v>
      </c>
      <c r="D17" s="207">
        <f t="shared" ref="D17:K17" si="1">((D16-D15)/D15)*100</f>
        <v>-3.5592294835757534</v>
      </c>
      <c r="E17" s="207">
        <f t="shared" si="1"/>
        <v>-3.7855569627363694</v>
      </c>
      <c r="F17" s="207">
        <f t="shared" si="1"/>
        <v>5.5833194261362342</v>
      </c>
      <c r="G17" s="207">
        <f t="shared" si="1"/>
        <v>5.2580984724888129</v>
      </c>
      <c r="H17" s="207">
        <f t="shared" si="1"/>
        <v>-1.385128965780497</v>
      </c>
      <c r="I17" s="208">
        <f t="shared" si="1"/>
        <v>6.4946696587847308</v>
      </c>
      <c r="J17" s="207">
        <f t="shared" si="1"/>
        <v>24.839210272873196</v>
      </c>
      <c r="K17" s="207">
        <f t="shared" si="1"/>
        <v>-1.1087711766565578</v>
      </c>
      <c r="L17" s="39"/>
    </row>
    <row r="18" spans="1:12" ht="30" customHeight="1">
      <c r="A18" s="285" t="s">
        <v>33</v>
      </c>
      <c r="B18" s="287"/>
      <c r="C18" s="209">
        <f>((C16/C7)^(1/9)-1)*100</f>
        <v>1.1634529853977504</v>
      </c>
      <c r="D18" s="209">
        <f t="shared" ref="D18:G18" si="2">((D16/D7)^(1/9)-1)*100</f>
        <v>5.2417523238146302E-3</v>
      </c>
      <c r="E18" s="209">
        <f t="shared" si="2"/>
        <v>2.8775911320073178</v>
      </c>
      <c r="F18" s="209">
        <f t="shared" si="2"/>
        <v>-0.8438418453627472</v>
      </c>
      <c r="G18" s="209">
        <f t="shared" si="2"/>
        <v>1.3572478749647177</v>
      </c>
      <c r="H18" s="210" t="s">
        <v>66</v>
      </c>
      <c r="I18" s="209">
        <f>((I16/I7)^(1/9)-1)*100</f>
        <v>-0.55509651756662226</v>
      </c>
      <c r="J18" s="209">
        <f t="shared" ref="J18:K18" si="3">((J16/J7)^(1/9)-1)*100</f>
        <v>-5.4476947100580713</v>
      </c>
      <c r="K18" s="209">
        <f t="shared" si="3"/>
        <v>3.6023116928550536</v>
      </c>
      <c r="L18" s="10"/>
    </row>
    <row r="19" spans="1:12">
      <c r="A19" s="99" t="s">
        <v>83</v>
      </c>
      <c r="B19" s="100"/>
      <c r="G19" s="85"/>
      <c r="H19" s="85"/>
      <c r="I19" s="85"/>
      <c r="J19" s="85"/>
      <c r="K19" s="101"/>
    </row>
    <row r="20" spans="1:12">
      <c r="A20" s="102"/>
      <c r="B20" s="86"/>
      <c r="C20" s="86"/>
      <c r="D20" s="86"/>
      <c r="E20" s="86"/>
      <c r="F20" s="86"/>
      <c r="G20" s="86"/>
      <c r="H20" s="86"/>
      <c r="I20" s="103"/>
      <c r="J20" s="103"/>
      <c r="K20" s="86"/>
    </row>
    <row r="21" spans="1:12">
      <c r="A21" s="267" t="s">
        <v>190</v>
      </c>
      <c r="B21" s="267"/>
      <c r="C21" s="267"/>
      <c r="D21" s="267"/>
      <c r="E21" s="267"/>
      <c r="F21" s="267"/>
      <c r="G21" s="267"/>
      <c r="H21" s="267"/>
      <c r="I21" s="267"/>
      <c r="J21" s="267"/>
      <c r="K21" s="267"/>
    </row>
    <row r="22" spans="1:12" ht="24" customHeight="1">
      <c r="A22" s="267"/>
      <c r="B22" s="267"/>
      <c r="C22" s="267"/>
      <c r="D22" s="267"/>
      <c r="E22" s="267"/>
      <c r="F22" s="267"/>
      <c r="G22" s="267"/>
      <c r="H22" s="267"/>
      <c r="I22" s="267"/>
      <c r="J22" s="267"/>
      <c r="K22" s="267"/>
    </row>
    <row r="23" spans="1:12">
      <c r="A23" s="102"/>
      <c r="B23" s="86"/>
      <c r="C23" s="86"/>
      <c r="D23" s="86"/>
      <c r="E23" s="86"/>
      <c r="F23" s="86"/>
      <c r="G23" s="86"/>
      <c r="H23" s="86"/>
      <c r="I23" s="85"/>
      <c r="J23" s="85"/>
      <c r="K23" s="86" t="s">
        <v>71</v>
      </c>
    </row>
    <row r="24" spans="1:12" ht="38.25">
      <c r="A24" s="89" t="s">
        <v>72</v>
      </c>
      <c r="B24" s="89" t="s">
        <v>4</v>
      </c>
      <c r="C24" s="89" t="s">
        <v>73</v>
      </c>
      <c r="D24" s="89" t="s">
        <v>74</v>
      </c>
      <c r="E24" s="89" t="s">
        <v>75</v>
      </c>
      <c r="F24" s="89" t="s">
        <v>76</v>
      </c>
      <c r="G24" s="89" t="s">
        <v>77</v>
      </c>
      <c r="H24" s="89" t="s">
        <v>84</v>
      </c>
      <c r="I24" s="89" t="s">
        <v>79</v>
      </c>
      <c r="J24" s="88" t="s">
        <v>80</v>
      </c>
      <c r="K24" s="88" t="s">
        <v>0</v>
      </c>
    </row>
    <row r="25" spans="1:12">
      <c r="A25" s="15">
        <v>1</v>
      </c>
      <c r="B25" s="25">
        <v>2</v>
      </c>
      <c r="C25" s="7">
        <v>3</v>
      </c>
      <c r="D25" s="7">
        <v>4</v>
      </c>
      <c r="E25" s="7">
        <v>5</v>
      </c>
      <c r="F25" s="7">
        <v>6</v>
      </c>
      <c r="G25" s="7">
        <v>7</v>
      </c>
      <c r="H25" s="7">
        <v>8</v>
      </c>
      <c r="I25" s="7">
        <v>9</v>
      </c>
      <c r="J25" s="91">
        <v>10</v>
      </c>
      <c r="K25" s="91" t="s">
        <v>85</v>
      </c>
    </row>
    <row r="26" spans="1:12" ht="15" customHeight="1">
      <c r="A26" s="289" t="s">
        <v>86</v>
      </c>
      <c r="B26" s="92" t="s">
        <v>7</v>
      </c>
      <c r="C26" s="93">
        <v>4.9129500000000004</v>
      </c>
      <c r="D26" s="93">
        <v>1.8275699999999999</v>
      </c>
      <c r="E26" s="93">
        <v>136.93798000000001</v>
      </c>
      <c r="F26" s="93">
        <v>127.09132927</v>
      </c>
      <c r="G26" s="93">
        <v>2.7543600000000001</v>
      </c>
      <c r="H26" s="104" t="s">
        <v>87</v>
      </c>
      <c r="I26" s="93">
        <v>181.52</v>
      </c>
      <c r="J26" s="93">
        <v>0</v>
      </c>
      <c r="K26" s="93">
        <v>455.3</v>
      </c>
      <c r="L26" s="95"/>
    </row>
    <row r="27" spans="1:12">
      <c r="A27" s="290"/>
      <c r="B27" s="92" t="s">
        <v>8</v>
      </c>
      <c r="C27" s="96">
        <v>2.54155</v>
      </c>
      <c r="D27" s="96">
        <v>1.3958900000000001</v>
      </c>
      <c r="E27" s="96">
        <v>126.65896000000001</v>
      </c>
      <c r="F27" s="96">
        <v>101.52631999999998</v>
      </c>
      <c r="G27" s="96">
        <v>2.3182900000000002</v>
      </c>
      <c r="H27" s="105" t="s">
        <v>87</v>
      </c>
      <c r="I27" s="96">
        <v>180.35899000000001</v>
      </c>
      <c r="J27" s="96">
        <v>0</v>
      </c>
      <c r="K27" s="96">
        <v>414.8</v>
      </c>
      <c r="L27" s="95"/>
    </row>
    <row r="28" spans="1:12">
      <c r="A28" s="290"/>
      <c r="B28" s="92" t="s">
        <v>1</v>
      </c>
      <c r="C28" s="96">
        <v>3.0750899999999994</v>
      </c>
      <c r="D28" s="96">
        <v>1.3165</v>
      </c>
      <c r="E28" s="96">
        <v>142.35854999999998</v>
      </c>
      <c r="F28" s="96">
        <v>73.965450000000018</v>
      </c>
      <c r="G28" s="96">
        <v>2.4293800000000001</v>
      </c>
      <c r="H28" s="96">
        <v>0.75700000000000001</v>
      </c>
      <c r="I28" s="96">
        <v>174.64000000000001</v>
      </c>
      <c r="J28" s="96">
        <v>0</v>
      </c>
      <c r="K28" s="96">
        <v>398.54196999999999</v>
      </c>
      <c r="L28" s="196"/>
    </row>
    <row r="29" spans="1:12">
      <c r="A29" s="290"/>
      <c r="B29" s="92" t="s">
        <v>2</v>
      </c>
      <c r="C29" s="96">
        <v>3.8475599999999996</v>
      </c>
      <c r="D29" s="96">
        <v>1.34849</v>
      </c>
      <c r="E29" s="96">
        <v>131.76623000000001</v>
      </c>
      <c r="F29" s="96">
        <v>63.661239999999992</v>
      </c>
      <c r="G29" s="96">
        <v>3.4419</v>
      </c>
      <c r="H29" s="96">
        <v>0.69</v>
      </c>
      <c r="I29" s="96">
        <v>181.56200000000001</v>
      </c>
      <c r="J29" s="96">
        <v>0</v>
      </c>
      <c r="K29" s="96">
        <v>386.31742000000003</v>
      </c>
      <c r="L29" s="196"/>
    </row>
    <row r="30" spans="1:12">
      <c r="A30" s="290"/>
      <c r="B30" s="92" t="s">
        <v>3</v>
      </c>
      <c r="C30" s="96">
        <v>4.9512999999999998</v>
      </c>
      <c r="D30" s="96">
        <v>1.0613900000000001</v>
      </c>
      <c r="E30" s="96">
        <v>132.17737</v>
      </c>
      <c r="F30" s="96">
        <v>54.634869999999999</v>
      </c>
      <c r="G30" s="96">
        <v>3.8004199999999999</v>
      </c>
      <c r="H30" s="96">
        <v>3.80559</v>
      </c>
      <c r="I30" s="96">
        <v>164.83251000000001</v>
      </c>
      <c r="J30" s="96">
        <v>0</v>
      </c>
      <c r="K30" s="96">
        <v>365.26345000000003</v>
      </c>
      <c r="L30" s="196"/>
    </row>
    <row r="31" spans="1:12">
      <c r="A31" s="290"/>
      <c r="B31" s="92" t="s">
        <v>20</v>
      </c>
      <c r="C31" s="96">
        <v>3.7434500000000002</v>
      </c>
      <c r="D31" s="96">
        <v>1.25505</v>
      </c>
      <c r="E31" s="96">
        <v>154.20587</v>
      </c>
      <c r="F31" s="96">
        <v>60.746709999999993</v>
      </c>
      <c r="G31" s="96">
        <v>2.23421</v>
      </c>
      <c r="H31" s="96">
        <v>1.1052899999999999</v>
      </c>
      <c r="I31" s="96">
        <v>183.77348000000001</v>
      </c>
      <c r="J31" s="96">
        <v>0</v>
      </c>
      <c r="K31" s="96">
        <v>407.06406000000004</v>
      </c>
      <c r="L31" s="196"/>
    </row>
    <row r="32" spans="1:12">
      <c r="A32" s="290"/>
      <c r="B32" s="92" t="s">
        <v>23</v>
      </c>
      <c r="C32" s="96">
        <v>7.2294099999999997</v>
      </c>
      <c r="D32" s="96">
        <v>2.02217</v>
      </c>
      <c r="E32" s="96">
        <v>174.34964000000002</v>
      </c>
      <c r="F32" s="96">
        <v>59.504129999999996</v>
      </c>
      <c r="G32" s="96">
        <v>2.3016300000000003</v>
      </c>
      <c r="H32" s="96">
        <v>1.0358499999999999</v>
      </c>
      <c r="I32" s="96">
        <v>202.54157999999998</v>
      </c>
      <c r="J32" s="96">
        <v>0</v>
      </c>
      <c r="K32" s="96">
        <v>448.98441000000003</v>
      </c>
      <c r="L32" s="196"/>
    </row>
    <row r="33" spans="1:12">
      <c r="A33" s="290"/>
      <c r="B33" s="53" t="s">
        <v>24</v>
      </c>
      <c r="C33" s="96">
        <v>7.162230000000001</v>
      </c>
      <c r="D33" s="96">
        <v>9.29176</v>
      </c>
      <c r="E33" s="96">
        <v>142.93818000000002</v>
      </c>
      <c r="F33" s="96">
        <v>148.8215099999999</v>
      </c>
      <c r="G33" s="96">
        <v>6.1164799999999993</v>
      </c>
      <c r="H33" s="96">
        <v>2.5655499999999996</v>
      </c>
      <c r="I33" s="96">
        <v>206.89180999999996</v>
      </c>
      <c r="J33" s="96">
        <v>0</v>
      </c>
      <c r="K33" s="96">
        <v>523.78751999999986</v>
      </c>
      <c r="L33" s="196"/>
    </row>
    <row r="34" spans="1:12">
      <c r="A34" s="290"/>
      <c r="B34" s="53" t="s">
        <v>28</v>
      </c>
      <c r="C34" s="96">
        <v>9.9791288046075088</v>
      </c>
      <c r="D34" s="96">
        <v>15.647997423208189</v>
      </c>
      <c r="E34" s="96">
        <v>276.50811795221864</v>
      </c>
      <c r="F34" s="96">
        <v>174.77155222696251</v>
      </c>
      <c r="G34" s="96">
        <v>22.415516646757673</v>
      </c>
      <c r="H34" s="96">
        <v>33.331120930887373</v>
      </c>
      <c r="I34" s="96">
        <v>65.315021109214939</v>
      </c>
      <c r="J34" s="96">
        <v>0</v>
      </c>
      <c r="K34" s="96">
        <v>597.96845509385685</v>
      </c>
      <c r="L34" s="196"/>
    </row>
    <row r="35" spans="1:12">
      <c r="A35" s="292"/>
      <c r="B35" s="55" t="s">
        <v>31</v>
      </c>
      <c r="C35" s="98">
        <v>4.5538468583617755</v>
      </c>
      <c r="D35" s="98">
        <v>12.46855127986348</v>
      </c>
      <c r="E35" s="98">
        <v>342.14604048634811</v>
      </c>
      <c r="F35" s="98">
        <v>153.33297047781568</v>
      </c>
      <c r="G35" s="98">
        <v>14.436827201365187</v>
      </c>
      <c r="H35" s="98">
        <v>37.528112013651878</v>
      </c>
      <c r="I35" s="98">
        <v>63.333196322525602</v>
      </c>
      <c r="J35" s="98">
        <v>0</v>
      </c>
      <c r="K35" s="98">
        <v>627.7995446399317</v>
      </c>
      <c r="L35" s="196"/>
    </row>
    <row r="36" spans="1:12" ht="30" customHeight="1">
      <c r="A36" s="285" t="s">
        <v>34</v>
      </c>
      <c r="B36" s="286"/>
      <c r="C36" s="211">
        <f t="shared" ref="C36:I36" si="4">((C35-C34)/C34)*100</f>
        <v>-54.36628840526442</v>
      </c>
      <c r="D36" s="211">
        <f t="shared" si="4"/>
        <v>-20.318549762982077</v>
      </c>
      <c r="E36" s="211">
        <f t="shared" si="4"/>
        <v>23.738153881424878</v>
      </c>
      <c r="F36" s="211">
        <f t="shared" si="4"/>
        <v>-12.266631197110488</v>
      </c>
      <c r="G36" s="211">
        <f t="shared" si="4"/>
        <v>-35.594492739682522</v>
      </c>
      <c r="H36" s="211">
        <f t="shared" si="4"/>
        <v>12.591808992763957</v>
      </c>
      <c r="I36" s="211">
        <f t="shared" si="4"/>
        <v>-3.0342557546991782</v>
      </c>
      <c r="J36" s="211" t="s">
        <v>66</v>
      </c>
      <c r="K36" s="211">
        <f>((K35-K34)/K34)*100</f>
        <v>4.9887396721274495</v>
      </c>
    </row>
    <row r="37" spans="1:12" ht="29.25" customHeight="1">
      <c r="A37" s="285" t="s">
        <v>33</v>
      </c>
      <c r="B37" s="287"/>
      <c r="C37" s="9">
        <f>((C35/C26)^(1/9)-1)*100</f>
        <v>-0.83981189911196408</v>
      </c>
      <c r="D37" s="9">
        <f t="shared" ref="D37:G37" si="5">((D35/D26)^(1/9)-1)*100</f>
        <v>23.782776389011694</v>
      </c>
      <c r="E37" s="9">
        <f t="shared" si="5"/>
        <v>10.71016836954486</v>
      </c>
      <c r="F37" s="9">
        <f t="shared" si="5"/>
        <v>2.1075219341535112</v>
      </c>
      <c r="G37" s="9">
        <f t="shared" si="5"/>
        <v>20.209559628228124</v>
      </c>
      <c r="H37" s="9" t="s">
        <v>66</v>
      </c>
      <c r="I37" s="9">
        <f>((I35/I26)^(1/9)-1)*100</f>
        <v>-11.041047951896344</v>
      </c>
      <c r="J37" s="9" t="s">
        <v>66</v>
      </c>
      <c r="K37" s="9">
        <f>((K35/K26)^(1/9)-1)*100</f>
        <v>3.6340794391778841</v>
      </c>
    </row>
    <row r="38" spans="1:12" ht="21" customHeight="1">
      <c r="A38" s="99" t="s">
        <v>83</v>
      </c>
      <c r="B38" s="100"/>
      <c r="G38" s="85"/>
      <c r="H38" s="85"/>
      <c r="I38" s="85"/>
      <c r="J38" s="85"/>
      <c r="K38" s="101"/>
    </row>
  </sheetData>
  <mergeCells count="8">
    <mergeCell ref="A36:B36"/>
    <mergeCell ref="A37:B37"/>
    <mergeCell ref="A1:K3"/>
    <mergeCell ref="A7:A16"/>
    <mergeCell ref="A17:B17"/>
    <mergeCell ref="A18:B18"/>
    <mergeCell ref="A21:K22"/>
    <mergeCell ref="A26:A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9"/>
  <sheetViews>
    <sheetView showGridLines="0" topLeftCell="A19" workbookViewId="0">
      <selection activeCell="L29" sqref="L29"/>
    </sheetView>
  </sheetViews>
  <sheetFormatPr defaultRowHeight="15"/>
  <cols>
    <col min="1" max="2" width="9.140625" style="11"/>
    <col min="3" max="3" width="10.42578125" style="11" customWidth="1"/>
    <col min="4" max="4" width="11.140625" style="11" customWidth="1"/>
    <col min="5" max="5" width="10" style="11" customWidth="1"/>
    <col min="6" max="16384" width="9.140625" style="11"/>
  </cols>
  <sheetData>
    <row r="1" spans="1:15" ht="15" customHeight="1">
      <c r="A1" s="267" t="s">
        <v>191</v>
      </c>
      <c r="B1" s="267"/>
      <c r="C1" s="267"/>
      <c r="D1" s="267"/>
      <c r="E1" s="267"/>
      <c r="F1" s="267"/>
      <c r="G1" s="267"/>
      <c r="H1" s="267"/>
      <c r="I1" s="267"/>
      <c r="J1" s="267"/>
      <c r="K1" s="267"/>
    </row>
    <row r="2" spans="1:15" ht="10.5" customHeight="1">
      <c r="A2" s="267"/>
      <c r="B2" s="267"/>
      <c r="C2" s="267"/>
      <c r="D2" s="267"/>
      <c r="E2" s="267"/>
      <c r="F2" s="267"/>
      <c r="G2" s="267"/>
      <c r="H2" s="267"/>
      <c r="I2" s="267"/>
      <c r="J2" s="267"/>
      <c r="K2" s="267"/>
    </row>
    <row r="3" spans="1:15" ht="12.75" customHeight="1">
      <c r="A3" s="267"/>
      <c r="B3" s="267"/>
      <c r="C3" s="267"/>
      <c r="D3" s="267"/>
      <c r="E3" s="267"/>
      <c r="F3" s="267"/>
      <c r="G3" s="267"/>
      <c r="H3" s="267"/>
      <c r="I3" s="267"/>
      <c r="J3" s="267"/>
      <c r="K3" s="267"/>
    </row>
    <row r="4" spans="1:15" ht="15.75">
      <c r="A4" s="108"/>
      <c r="B4" s="83"/>
      <c r="C4" s="83"/>
      <c r="D4" s="83"/>
      <c r="E4" s="83"/>
      <c r="F4" s="83"/>
      <c r="G4" s="83"/>
      <c r="J4" s="109"/>
      <c r="K4" s="110" t="s">
        <v>90</v>
      </c>
    </row>
    <row r="5" spans="1:15" ht="38.25">
      <c r="A5" s="89" t="s">
        <v>72</v>
      </c>
      <c r="B5" s="111" t="s">
        <v>4</v>
      </c>
      <c r="C5" s="89" t="s">
        <v>73</v>
      </c>
      <c r="D5" s="89" t="s">
        <v>74</v>
      </c>
      <c r="E5" s="89" t="s">
        <v>75</v>
      </c>
      <c r="F5" s="89" t="s">
        <v>76</v>
      </c>
      <c r="G5" s="89" t="s">
        <v>77</v>
      </c>
      <c r="H5" s="89" t="s">
        <v>78</v>
      </c>
      <c r="I5" s="89" t="s">
        <v>79</v>
      </c>
      <c r="J5" s="89" t="s">
        <v>80</v>
      </c>
      <c r="K5" s="89" t="s">
        <v>0</v>
      </c>
    </row>
    <row r="6" spans="1:15">
      <c r="A6" s="15">
        <v>1</v>
      </c>
      <c r="B6" s="112">
        <v>2</v>
      </c>
      <c r="C6" s="7">
        <v>3</v>
      </c>
      <c r="D6" s="7">
        <v>4</v>
      </c>
      <c r="E6" s="7">
        <v>5</v>
      </c>
      <c r="F6" s="7">
        <v>6</v>
      </c>
      <c r="G6" s="7">
        <v>7</v>
      </c>
      <c r="H6" s="7">
        <v>8</v>
      </c>
      <c r="I6" s="7">
        <v>9</v>
      </c>
      <c r="J6" s="7">
        <v>10</v>
      </c>
      <c r="K6" s="7" t="s">
        <v>85</v>
      </c>
    </row>
    <row r="7" spans="1:15">
      <c r="A7" s="289" t="s">
        <v>91</v>
      </c>
      <c r="B7" s="92" t="s">
        <v>7</v>
      </c>
      <c r="C7" s="93">
        <v>780.13252</v>
      </c>
      <c r="D7" s="93">
        <v>70.402799999999999</v>
      </c>
      <c r="E7" s="93">
        <v>822.77850000000001</v>
      </c>
      <c r="F7" s="93">
        <v>2773.4813200000003</v>
      </c>
      <c r="G7" s="93">
        <v>7.2327899999999996</v>
      </c>
      <c r="H7" s="93" t="s">
        <v>87</v>
      </c>
      <c r="I7" s="93">
        <v>3979.1720700000005</v>
      </c>
      <c r="J7" s="93">
        <v>374</v>
      </c>
      <c r="K7" s="93">
        <v>8807.2000000000007</v>
      </c>
      <c r="L7" s="95"/>
      <c r="O7" s="97"/>
    </row>
    <row r="8" spans="1:15">
      <c r="A8" s="290"/>
      <c r="B8" s="92" t="s">
        <v>8</v>
      </c>
      <c r="C8" s="96">
        <v>370.96447000000001</v>
      </c>
      <c r="D8" s="96">
        <v>70.371409999999997</v>
      </c>
      <c r="E8" s="96">
        <v>646.55790999999999</v>
      </c>
      <c r="F8" s="96">
        <v>2408.3094199999996</v>
      </c>
      <c r="G8" s="96">
        <v>45.238510000000005</v>
      </c>
      <c r="H8" s="96" t="s">
        <v>87</v>
      </c>
      <c r="I8" s="96">
        <v>3299.9772000000007</v>
      </c>
      <c r="J8" s="96">
        <v>706.04200000000003</v>
      </c>
      <c r="K8" s="96">
        <v>7547.4609200000004</v>
      </c>
      <c r="L8" s="95"/>
      <c r="O8" s="97"/>
    </row>
    <row r="9" spans="1:15" ht="16.5" customHeight="1">
      <c r="A9" s="290"/>
      <c r="B9" s="92" t="s">
        <v>1</v>
      </c>
      <c r="C9" s="96">
        <v>276.65550000000002</v>
      </c>
      <c r="D9" s="96">
        <v>79.162580000000005</v>
      </c>
      <c r="E9" s="96">
        <v>586.79</v>
      </c>
      <c r="F9" s="96">
        <v>2018.9901299999999</v>
      </c>
      <c r="G9" s="96">
        <v>12.454409999999999</v>
      </c>
      <c r="H9" s="96">
        <v>351.279</v>
      </c>
      <c r="I9" s="96">
        <v>2356.88</v>
      </c>
      <c r="J9" s="96">
        <v>608.29200000000003</v>
      </c>
      <c r="K9" s="96">
        <v>6290.5036200000004</v>
      </c>
      <c r="L9" s="95"/>
      <c r="O9" s="97"/>
    </row>
    <row r="10" spans="1:15">
      <c r="A10" s="290"/>
      <c r="B10" s="92" t="s">
        <v>2</v>
      </c>
      <c r="C10" s="96">
        <v>315.34485999999998</v>
      </c>
      <c r="D10" s="96">
        <v>74.530929999999998</v>
      </c>
      <c r="E10" s="96">
        <v>535.6780500000001</v>
      </c>
      <c r="F10" s="96">
        <v>1833.32474</v>
      </c>
      <c r="G10" s="96">
        <v>38.482519999999994</v>
      </c>
      <c r="H10" s="96">
        <v>309.08999999999997</v>
      </c>
      <c r="I10" s="96">
        <v>1984.6890000000001</v>
      </c>
      <c r="J10" s="96">
        <v>695.81</v>
      </c>
      <c r="K10" s="96">
        <v>5786.9501</v>
      </c>
      <c r="L10" s="95"/>
      <c r="O10" s="97"/>
    </row>
    <row r="11" spans="1:15">
      <c r="A11" s="290"/>
      <c r="B11" s="92" t="s">
        <v>3</v>
      </c>
      <c r="C11" s="96">
        <v>346.44700999999998</v>
      </c>
      <c r="D11" s="96">
        <v>55.617940000000004</v>
      </c>
      <c r="E11" s="96">
        <v>445.77027000000004</v>
      </c>
      <c r="F11" s="96">
        <v>1748.4224500000003</v>
      </c>
      <c r="G11" s="96">
        <v>45.099789999999999</v>
      </c>
      <c r="H11" s="96">
        <v>196.86964</v>
      </c>
      <c r="I11" s="96">
        <v>2175.3713599999992</v>
      </c>
      <c r="J11" s="96">
        <v>570.04</v>
      </c>
      <c r="K11" s="96">
        <v>5583.6384599999992</v>
      </c>
      <c r="L11" s="95"/>
      <c r="O11" s="97"/>
    </row>
    <row r="12" spans="1:15">
      <c r="A12" s="290"/>
      <c r="B12" s="92" t="s">
        <v>20</v>
      </c>
      <c r="C12" s="96">
        <v>379.50259999999997</v>
      </c>
      <c r="D12" s="96">
        <v>56.622050000000002</v>
      </c>
      <c r="E12" s="96">
        <v>430.35921000000002</v>
      </c>
      <c r="F12" s="96">
        <v>2136.47199</v>
      </c>
      <c r="G12" s="96">
        <v>52.664900000000003</v>
      </c>
      <c r="H12" s="96">
        <v>270.18258000000003</v>
      </c>
      <c r="I12" s="96">
        <v>2564.0034900000001</v>
      </c>
      <c r="J12" s="96">
        <v>592.11900000000003</v>
      </c>
      <c r="K12" s="96">
        <v>6481.9258199999995</v>
      </c>
      <c r="L12" s="95"/>
      <c r="O12" s="97"/>
    </row>
    <row r="13" spans="1:15">
      <c r="A13" s="290"/>
      <c r="B13" s="92" t="s">
        <v>23</v>
      </c>
      <c r="C13" s="96">
        <v>444.12337000000002</v>
      </c>
      <c r="D13" s="96">
        <v>51.408349999999999</v>
      </c>
      <c r="E13" s="96">
        <v>360.95071000000002</v>
      </c>
      <c r="F13" s="96">
        <v>2491.7528600000001</v>
      </c>
      <c r="G13" s="96">
        <v>71.45017</v>
      </c>
      <c r="H13" s="96">
        <v>357.26544999999999</v>
      </c>
      <c r="I13" s="96">
        <v>2485.3517900000002</v>
      </c>
      <c r="J13" s="96">
        <v>783.88</v>
      </c>
      <c r="K13" s="96">
        <v>7046.1827000000003</v>
      </c>
      <c r="L13" s="95"/>
      <c r="O13" s="97"/>
    </row>
    <row r="14" spans="1:15">
      <c r="A14" s="290"/>
      <c r="B14" s="53" t="s">
        <v>24</v>
      </c>
      <c r="C14" s="96">
        <v>600.81128999999999</v>
      </c>
      <c r="D14" s="96">
        <v>49.833989999999979</v>
      </c>
      <c r="E14" s="96">
        <v>313.83336999999989</v>
      </c>
      <c r="F14" s="96">
        <v>2345.8770100000002</v>
      </c>
      <c r="G14" s="96">
        <v>67.904969999999992</v>
      </c>
      <c r="H14" s="96">
        <v>321.23418999999996</v>
      </c>
      <c r="I14" s="96">
        <v>2233.5012299999994</v>
      </c>
      <c r="J14" s="96">
        <v>671.702</v>
      </c>
      <c r="K14" s="96">
        <v>6604.6980499999991</v>
      </c>
      <c r="L14" s="95"/>
      <c r="O14" s="97"/>
    </row>
    <row r="15" spans="1:15">
      <c r="A15" s="290"/>
      <c r="B15" s="53" t="s">
        <v>28</v>
      </c>
      <c r="C15" s="96">
        <v>786.26266583935535</v>
      </c>
      <c r="D15" s="96">
        <v>78.458476345932525</v>
      </c>
      <c r="E15" s="96">
        <v>338.84206570990017</v>
      </c>
      <c r="F15" s="96">
        <v>2577.3902872966241</v>
      </c>
      <c r="G15" s="96">
        <v>54.266995170759778</v>
      </c>
      <c r="H15" s="96">
        <v>298.4148369184573</v>
      </c>
      <c r="I15" s="96">
        <v>1449.4762078348053</v>
      </c>
      <c r="J15" s="96">
        <v>611.41499999999996</v>
      </c>
      <c r="K15" s="96">
        <v>6194.526535115835</v>
      </c>
      <c r="L15" s="95"/>
      <c r="O15" s="97"/>
    </row>
    <row r="16" spans="1:15">
      <c r="A16" s="292"/>
      <c r="B16" s="55" t="s">
        <v>31</v>
      </c>
      <c r="C16" s="98">
        <v>849.22712293457391</v>
      </c>
      <c r="D16" s="98">
        <v>70.878377835763615</v>
      </c>
      <c r="E16" s="98">
        <v>302.70801711627013</v>
      </c>
      <c r="F16" s="98">
        <v>2142.538880910015</v>
      </c>
      <c r="G16" s="98">
        <v>84.034156597275512</v>
      </c>
      <c r="H16" s="98">
        <v>289.62092007348423</v>
      </c>
      <c r="I16" s="98">
        <v>1398.1383893227169</v>
      </c>
      <c r="J16" s="98">
        <v>774.85699999999986</v>
      </c>
      <c r="K16" s="98">
        <v>5912.002864790099</v>
      </c>
      <c r="L16" s="95"/>
      <c r="N16" s="97"/>
      <c r="O16" s="97"/>
    </row>
    <row r="17" spans="1:13" ht="33" customHeight="1">
      <c r="A17" s="285" t="s">
        <v>34</v>
      </c>
      <c r="B17" s="286"/>
      <c r="C17" s="200">
        <f>((C16-C15)/C15)*100</f>
        <v>8.0080690373365773</v>
      </c>
      <c r="D17" s="200">
        <f>((D16-D15)/D15)*100</f>
        <v>-9.661286916594424</v>
      </c>
      <c r="E17" s="200">
        <f>((E16-E15)/E15)*100</f>
        <v>-10.663979549860917</v>
      </c>
      <c r="F17" s="200">
        <f>((F16-F15)/F15)*100</f>
        <v>-16.871771750281429</v>
      </c>
      <c r="G17" s="200">
        <f>((G15-G14)/G14)*100</f>
        <v>-20.083912604983428</v>
      </c>
      <c r="H17" s="200">
        <f>((H15-H14)/H14)*100</f>
        <v>-7.1036501692247205</v>
      </c>
      <c r="I17" s="200">
        <f>((I16-I15)/I15)*100</f>
        <v>-3.5418186400434766</v>
      </c>
      <c r="J17" s="200">
        <f>((J16-J15)/J15)*100</f>
        <v>26.73176156947407</v>
      </c>
      <c r="K17" s="200">
        <f>((K16-K15)/K15)*100</f>
        <v>-4.5608597965341184</v>
      </c>
      <c r="M17" s="97"/>
    </row>
    <row r="18" spans="1:13" ht="33" customHeight="1">
      <c r="A18" s="285" t="s">
        <v>33</v>
      </c>
      <c r="B18" s="287"/>
      <c r="C18" s="9">
        <f>((C16/C7)^(1/9)-1)*100</f>
        <v>0.94738023667566562</v>
      </c>
      <c r="D18" s="9">
        <f t="shared" ref="D18:G18" si="0">((D16/D7)^(1/9)-1)*100</f>
        <v>7.4832261713075887E-2</v>
      </c>
      <c r="E18" s="9">
        <f t="shared" si="0"/>
        <v>-10.515256259343142</v>
      </c>
      <c r="F18" s="9">
        <f t="shared" si="0"/>
        <v>-2.8271747877478437</v>
      </c>
      <c r="G18" s="9">
        <f t="shared" si="0"/>
        <v>31.325783003341368</v>
      </c>
      <c r="H18" s="9" t="s">
        <v>92</v>
      </c>
      <c r="I18" s="9">
        <f>((I16/I7)^(1/9)-1)*100</f>
        <v>-10.971592589777913</v>
      </c>
      <c r="J18" s="9">
        <f t="shared" ref="J18:K18" si="1">((J16/J7)^(1/9)-1)*100</f>
        <v>8.4301342282377512</v>
      </c>
      <c r="K18" s="9">
        <f t="shared" si="1"/>
        <v>-4.3320850929590149</v>
      </c>
    </row>
    <row r="19" spans="1:13" ht="21" customHeight="1">
      <c r="A19" s="99" t="s">
        <v>83</v>
      </c>
      <c r="B19" s="99"/>
      <c r="C19" s="99"/>
      <c r="D19" s="99"/>
      <c r="E19" s="99"/>
      <c r="F19" s="99"/>
      <c r="G19" s="99"/>
      <c r="H19" s="99"/>
      <c r="I19" s="99"/>
      <c r="J19" s="99"/>
      <c r="K19" s="99"/>
    </row>
    <row r="20" spans="1:13" ht="21" customHeight="1">
      <c r="A20" s="267" t="s">
        <v>192</v>
      </c>
      <c r="B20" s="267"/>
      <c r="C20" s="267"/>
      <c r="D20" s="267"/>
      <c r="E20" s="267"/>
      <c r="F20" s="267"/>
      <c r="G20" s="267"/>
      <c r="H20" s="267"/>
      <c r="I20" s="267"/>
      <c r="J20" s="267"/>
      <c r="K20" s="113"/>
    </row>
    <row r="21" spans="1:13" ht="13.5" customHeight="1">
      <c r="A21" s="267"/>
      <c r="B21" s="267"/>
      <c r="C21" s="267"/>
      <c r="D21" s="267"/>
      <c r="E21" s="267"/>
      <c r="F21" s="267"/>
      <c r="G21" s="267"/>
      <c r="H21" s="267"/>
      <c r="I21" s="267"/>
      <c r="J21" s="267"/>
      <c r="K21" s="113"/>
    </row>
    <row r="22" spans="1:13" ht="4.5" customHeight="1">
      <c r="A22" s="267"/>
      <c r="B22" s="267"/>
      <c r="C22" s="267"/>
      <c r="D22" s="267"/>
      <c r="E22" s="267"/>
      <c r="F22" s="267"/>
      <c r="G22" s="267"/>
      <c r="H22" s="267"/>
      <c r="I22" s="267"/>
      <c r="J22" s="267"/>
      <c r="K22" s="113"/>
    </row>
    <row r="23" spans="1:13" ht="15" customHeight="1">
      <c r="A23" s="102"/>
      <c r="B23" s="10"/>
      <c r="C23" s="10"/>
      <c r="D23" s="10"/>
      <c r="E23" s="10"/>
      <c r="F23" s="10"/>
      <c r="G23" s="10"/>
      <c r="J23" s="86" t="s">
        <v>71</v>
      </c>
    </row>
    <row r="24" spans="1:13" ht="38.25">
      <c r="A24" s="89" t="s">
        <v>72</v>
      </c>
      <c r="B24" s="88" t="s">
        <v>4</v>
      </c>
      <c r="C24" s="89" t="s">
        <v>74</v>
      </c>
      <c r="D24" s="89" t="s">
        <v>75</v>
      </c>
      <c r="E24" s="89" t="s">
        <v>76</v>
      </c>
      <c r="F24" s="89" t="s">
        <v>77</v>
      </c>
      <c r="G24" s="89" t="s">
        <v>84</v>
      </c>
      <c r="H24" s="89" t="s">
        <v>79</v>
      </c>
      <c r="I24" s="89" t="s">
        <v>80</v>
      </c>
      <c r="J24" s="89" t="s">
        <v>0</v>
      </c>
    </row>
    <row r="25" spans="1:13">
      <c r="A25" s="15">
        <v>1</v>
      </c>
      <c r="B25" s="25">
        <v>2</v>
      </c>
      <c r="C25" s="7">
        <v>3</v>
      </c>
      <c r="D25" s="7">
        <v>4</v>
      </c>
      <c r="E25" s="7">
        <v>5</v>
      </c>
      <c r="F25" s="7">
        <v>6</v>
      </c>
      <c r="G25" s="7">
        <v>7</v>
      </c>
      <c r="H25" s="7">
        <v>8</v>
      </c>
      <c r="I25" s="7">
        <v>9</v>
      </c>
      <c r="J25" s="7" t="s">
        <v>93</v>
      </c>
    </row>
    <row r="26" spans="1:13">
      <c r="A26" s="289" t="s">
        <v>94</v>
      </c>
      <c r="B26" s="92" t="s">
        <v>7</v>
      </c>
      <c r="C26" s="114">
        <v>0.29399999999999998</v>
      </c>
      <c r="D26" s="115">
        <v>468.57</v>
      </c>
      <c r="E26" s="115">
        <v>1031.1600000000001</v>
      </c>
      <c r="F26" s="115">
        <v>0.224</v>
      </c>
      <c r="G26" s="116">
        <v>0</v>
      </c>
      <c r="H26" s="115">
        <v>481.75199999999995</v>
      </c>
      <c r="I26" s="115">
        <v>0</v>
      </c>
      <c r="J26" s="115">
        <v>1982</v>
      </c>
      <c r="L26" s="39"/>
    </row>
    <row r="27" spans="1:13">
      <c r="A27" s="290"/>
      <c r="B27" s="92" t="s">
        <v>8</v>
      </c>
      <c r="C27" s="117">
        <v>0.17100000000000001</v>
      </c>
      <c r="D27" s="117">
        <v>399.18876</v>
      </c>
      <c r="E27" s="117">
        <v>1066.9932999999999</v>
      </c>
      <c r="F27" s="117">
        <v>0.91900000000000004</v>
      </c>
      <c r="G27" s="118">
        <v>0</v>
      </c>
      <c r="H27" s="117">
        <v>291.86701999999991</v>
      </c>
      <c r="I27" s="117">
        <v>0</v>
      </c>
      <c r="J27" s="117">
        <v>1759.1390799999999</v>
      </c>
      <c r="L27" s="39"/>
    </row>
    <row r="28" spans="1:13">
      <c r="A28" s="290"/>
      <c r="B28" s="92" t="s">
        <v>1</v>
      </c>
      <c r="C28" s="117">
        <v>0</v>
      </c>
      <c r="D28" s="117">
        <v>438.97653000000003</v>
      </c>
      <c r="E28" s="117">
        <v>778.01150000000007</v>
      </c>
      <c r="F28" s="117">
        <v>0</v>
      </c>
      <c r="G28" s="118">
        <v>0</v>
      </c>
      <c r="H28" s="117">
        <v>149.00187</v>
      </c>
      <c r="I28" s="117">
        <v>0</v>
      </c>
      <c r="J28" s="117">
        <v>1365.9899</v>
      </c>
      <c r="L28" s="39"/>
    </row>
    <row r="29" spans="1:13">
      <c r="A29" s="290"/>
      <c r="B29" s="92" t="s">
        <v>2</v>
      </c>
      <c r="C29" s="117">
        <v>0</v>
      </c>
      <c r="D29" s="117">
        <v>328.13965999999999</v>
      </c>
      <c r="E29" s="117">
        <v>76.316340000000011</v>
      </c>
      <c r="F29" s="117">
        <v>0</v>
      </c>
      <c r="G29" s="118">
        <v>44.250819999999997</v>
      </c>
      <c r="H29" s="117">
        <v>0</v>
      </c>
      <c r="I29" s="117">
        <v>0</v>
      </c>
      <c r="J29" s="117">
        <v>448.70681999999999</v>
      </c>
      <c r="L29" s="39"/>
    </row>
    <row r="30" spans="1:13">
      <c r="A30" s="290"/>
      <c r="B30" s="92" t="s">
        <v>3</v>
      </c>
      <c r="C30" s="117">
        <v>0</v>
      </c>
      <c r="D30" s="117">
        <v>226.17733999999999</v>
      </c>
      <c r="E30" s="117">
        <v>103.58670000000001</v>
      </c>
      <c r="F30" s="117">
        <v>0</v>
      </c>
      <c r="G30" s="118">
        <v>47.498719999999999</v>
      </c>
      <c r="H30" s="117">
        <v>0</v>
      </c>
      <c r="I30" s="117">
        <v>0</v>
      </c>
      <c r="J30" s="117">
        <v>377.26276000000001</v>
      </c>
      <c r="L30" s="39"/>
    </row>
    <row r="31" spans="1:13">
      <c r="A31" s="290"/>
      <c r="B31" s="92" t="s">
        <v>20</v>
      </c>
      <c r="C31" s="117">
        <v>0</v>
      </c>
      <c r="D31" s="117">
        <v>50.697330000000001</v>
      </c>
      <c r="E31" s="117">
        <v>70.449619999999996</v>
      </c>
      <c r="F31" s="117">
        <v>0</v>
      </c>
      <c r="G31" s="118">
        <v>29.232749999999999</v>
      </c>
      <c r="H31" s="117">
        <v>0</v>
      </c>
      <c r="I31" s="117">
        <v>0</v>
      </c>
      <c r="J31" s="117">
        <v>150.37970000000001</v>
      </c>
      <c r="L31" s="39"/>
    </row>
    <row r="32" spans="1:13">
      <c r="A32" s="290"/>
      <c r="B32" s="92" t="s">
        <v>23</v>
      </c>
      <c r="C32" s="117">
        <v>0</v>
      </c>
      <c r="D32" s="117">
        <v>16.433869999999999</v>
      </c>
      <c r="E32" s="117">
        <v>50.88326</v>
      </c>
      <c r="F32" s="117">
        <v>0</v>
      </c>
      <c r="G32" s="118">
        <v>36.907870000000003</v>
      </c>
      <c r="H32" s="117">
        <v>0</v>
      </c>
      <c r="I32" s="117">
        <v>0</v>
      </c>
      <c r="J32" s="117">
        <v>104.22499999999999</v>
      </c>
      <c r="L32" s="39"/>
    </row>
    <row r="33" spans="1:12">
      <c r="A33" s="290"/>
      <c r="B33" s="53" t="s">
        <v>24</v>
      </c>
      <c r="C33" s="117">
        <v>1.1769000000000001</v>
      </c>
      <c r="D33" s="117">
        <v>0</v>
      </c>
      <c r="E33" s="117">
        <v>53.782389999999992</v>
      </c>
      <c r="F33" s="117">
        <v>0.30689999999999995</v>
      </c>
      <c r="G33" s="118">
        <v>46.334450000000004</v>
      </c>
      <c r="H33" s="117">
        <v>14.673350000000001</v>
      </c>
      <c r="I33" s="117">
        <v>0</v>
      </c>
      <c r="J33" s="117">
        <v>116.27399</v>
      </c>
      <c r="L33" s="39"/>
    </row>
    <row r="34" spans="1:12">
      <c r="A34" s="290"/>
      <c r="B34" s="53" t="s">
        <v>28</v>
      </c>
      <c r="C34" s="117">
        <v>7.895290000000001</v>
      </c>
      <c r="D34" s="117">
        <v>9.3119399999999999</v>
      </c>
      <c r="E34" s="117">
        <v>175.12713000000002</v>
      </c>
      <c r="F34" s="117">
        <v>0</v>
      </c>
      <c r="G34" s="118">
        <v>128.67005000000006</v>
      </c>
      <c r="H34" s="117">
        <v>48.036040000000007</v>
      </c>
      <c r="I34" s="117">
        <v>0</v>
      </c>
      <c r="J34" s="117">
        <v>369.04045000000013</v>
      </c>
      <c r="L34" s="39"/>
    </row>
    <row r="35" spans="1:12">
      <c r="A35" s="292"/>
      <c r="B35" s="55" t="s">
        <v>31</v>
      </c>
      <c r="C35" s="119">
        <v>6.4181699999999999</v>
      </c>
      <c r="D35" s="119">
        <v>17.879339999999999</v>
      </c>
      <c r="E35" s="119">
        <v>201.92894999999999</v>
      </c>
      <c r="F35" s="119">
        <v>0</v>
      </c>
      <c r="G35" s="120">
        <v>113.01521</v>
      </c>
      <c r="H35" s="119">
        <v>50.294583999999993</v>
      </c>
      <c r="I35" s="119">
        <v>0</v>
      </c>
      <c r="J35" s="119">
        <v>389.53625399999999</v>
      </c>
      <c r="L35" s="39"/>
    </row>
    <row r="36" spans="1:12" ht="33.75" customHeight="1">
      <c r="A36" s="285" t="s">
        <v>34</v>
      </c>
      <c r="B36" s="286"/>
      <c r="C36" s="200" t="s">
        <v>66</v>
      </c>
      <c r="D36" s="212" t="s">
        <v>66</v>
      </c>
      <c r="E36" s="200">
        <f>((E35-E34)/E34)*100</f>
        <v>15.304207863167724</v>
      </c>
      <c r="F36" s="200" t="s">
        <v>66</v>
      </c>
      <c r="G36" s="200" t="s">
        <v>66</v>
      </c>
      <c r="H36" s="200">
        <f>((H35-H34)/H34)*100</f>
        <v>4.7017697545426023</v>
      </c>
      <c r="I36" s="200" t="s">
        <v>66</v>
      </c>
      <c r="J36" s="200">
        <f>((J35-J34)/J34)*100</f>
        <v>5.5538096162628898</v>
      </c>
    </row>
    <row r="37" spans="1:12" ht="33.75" customHeight="1">
      <c r="A37" s="285" t="s">
        <v>33</v>
      </c>
      <c r="B37" s="287"/>
      <c r="C37" s="9">
        <f>((C35/C26)^(1/9)-1)*100</f>
        <v>40.859089296407717</v>
      </c>
      <c r="D37" s="213" t="s">
        <v>66</v>
      </c>
      <c r="E37" s="9">
        <f>((E35/E26)^(1/9)-1)*100</f>
        <v>-16.57059046530599</v>
      </c>
      <c r="F37" s="9" t="s">
        <v>66</v>
      </c>
      <c r="G37" s="9" t="s">
        <v>66</v>
      </c>
      <c r="H37" s="9">
        <f>((H35/H26)^(1/9)-1)*100</f>
        <v>-22.202362216177697</v>
      </c>
      <c r="I37" s="213" t="s">
        <v>66</v>
      </c>
      <c r="J37" s="9">
        <f>((J35/J26)^(1/9)-1)*100</f>
        <v>-16.537035987719051</v>
      </c>
    </row>
    <row r="38" spans="1:12" ht="13.5" customHeight="1">
      <c r="A38" s="121"/>
      <c r="B38" s="100"/>
      <c r="C38" s="100"/>
      <c r="D38" s="100"/>
      <c r="E38" s="100"/>
      <c r="F38" s="100"/>
      <c r="G38" s="100"/>
      <c r="H38" s="100"/>
      <c r="I38" s="101"/>
      <c r="J38" s="4"/>
    </row>
    <row r="39" spans="1:12">
      <c r="J39" s="4"/>
    </row>
  </sheetData>
  <mergeCells count="8">
    <mergeCell ref="A36:B36"/>
    <mergeCell ref="A37:B37"/>
    <mergeCell ref="A1:K3"/>
    <mergeCell ref="A7:A16"/>
    <mergeCell ref="A17:B17"/>
    <mergeCell ref="A18:B18"/>
    <mergeCell ref="A20:J22"/>
    <mergeCell ref="A26:A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40"/>
  <sheetViews>
    <sheetView showGridLines="0" topLeftCell="A13" zoomScale="95" zoomScaleNormal="95" workbookViewId="0">
      <selection activeCell="L22" sqref="L22:Q23"/>
    </sheetView>
  </sheetViews>
  <sheetFormatPr defaultRowHeight="15"/>
  <cols>
    <col min="1" max="1" width="9.7109375" style="11" customWidth="1"/>
    <col min="2" max="2" width="11.42578125" style="11" customWidth="1"/>
    <col min="3" max="3" width="9.140625" style="11"/>
    <col min="4" max="4" width="11" style="11" customWidth="1"/>
    <col min="5" max="5" width="11.28515625" style="11" customWidth="1"/>
    <col min="6" max="6" width="9.5703125" style="11" customWidth="1"/>
    <col min="7" max="7" width="11.140625" style="11" customWidth="1"/>
    <col min="8" max="8" width="13.140625" style="11" customWidth="1"/>
    <col min="9" max="9" width="8.7109375" style="11" customWidth="1"/>
    <col min="10" max="10" width="9.140625" style="11"/>
    <col min="11" max="11" width="9.5703125" style="11" customWidth="1"/>
    <col min="12" max="12" width="9.7109375" style="11" customWidth="1"/>
    <col min="13" max="17" width="9.140625" style="11"/>
    <col min="18" max="18" width="16.140625" style="11" customWidth="1"/>
    <col min="19" max="19" width="10.5703125" style="11" customWidth="1"/>
    <col min="20" max="20" width="9.5703125" style="11" customWidth="1"/>
    <col min="21" max="21" width="9.85546875" style="11" customWidth="1"/>
    <col min="22" max="22" width="10.7109375" style="11" customWidth="1"/>
    <col min="23" max="23" width="9.42578125" style="11" customWidth="1"/>
    <col min="24" max="24" width="9.140625" style="11"/>
    <col min="25" max="25" width="8.85546875" style="11" customWidth="1"/>
    <col min="26" max="26" width="10.7109375" style="11" customWidth="1"/>
    <col min="27" max="27" width="11.85546875" style="11" customWidth="1"/>
    <col min="28" max="29" width="12" style="4" customWidth="1"/>
    <col min="30" max="30" width="12.28515625" style="11" customWidth="1"/>
    <col min="31" max="31" width="13.5703125" style="11" customWidth="1"/>
    <col min="32" max="32" width="13" style="11" customWidth="1"/>
    <col min="33" max="33" width="13.7109375" style="11" customWidth="1"/>
    <col min="34" max="34" width="13.28515625" style="11" customWidth="1"/>
    <col min="35" max="35" width="14.140625" style="11" customWidth="1"/>
    <col min="36" max="16384" width="9.140625" style="11"/>
  </cols>
  <sheetData>
    <row r="1" spans="1:33" ht="15" customHeight="1">
      <c r="A1" s="267" t="s">
        <v>193</v>
      </c>
      <c r="B1" s="267"/>
      <c r="C1" s="267"/>
      <c r="D1" s="267"/>
      <c r="E1" s="267"/>
      <c r="F1" s="267"/>
      <c r="G1" s="267"/>
      <c r="H1" s="267"/>
      <c r="I1" s="267"/>
      <c r="J1" s="267"/>
      <c r="K1" s="267"/>
      <c r="L1" s="267"/>
      <c r="M1" s="122"/>
      <c r="N1" s="122"/>
      <c r="O1" s="122"/>
      <c r="P1" s="122"/>
      <c r="Q1" s="122"/>
      <c r="U1" s="295"/>
      <c r="V1" s="295"/>
      <c r="W1" s="295"/>
      <c r="X1" s="295"/>
      <c r="Y1" s="295"/>
      <c r="Z1" s="295"/>
      <c r="AA1" s="295"/>
      <c r="AB1" s="295"/>
      <c r="AC1" s="295"/>
      <c r="AD1" s="295"/>
      <c r="AE1" s="295"/>
      <c r="AF1" s="295"/>
      <c r="AG1" s="295"/>
    </row>
    <row r="2" spans="1:33" ht="10.5" customHeight="1">
      <c r="A2" s="267"/>
      <c r="B2" s="267"/>
      <c r="C2" s="267"/>
      <c r="D2" s="267"/>
      <c r="E2" s="267"/>
      <c r="F2" s="267"/>
      <c r="G2" s="267"/>
      <c r="H2" s="267"/>
      <c r="I2" s="267"/>
      <c r="J2" s="267"/>
      <c r="K2" s="267"/>
      <c r="L2" s="267"/>
      <c r="M2" s="122"/>
      <c r="N2" s="122"/>
      <c r="O2" s="122"/>
      <c r="P2" s="122"/>
      <c r="Q2" s="122"/>
      <c r="U2" s="295"/>
      <c r="V2" s="295"/>
      <c r="W2" s="295"/>
      <c r="X2" s="295"/>
      <c r="Y2" s="295"/>
      <c r="Z2" s="295"/>
      <c r="AA2" s="295"/>
      <c r="AB2" s="295"/>
      <c r="AC2" s="295"/>
      <c r="AD2" s="295"/>
      <c r="AE2" s="295"/>
      <c r="AF2" s="295"/>
      <c r="AG2" s="295"/>
    </row>
    <row r="3" spans="1:33" ht="12" customHeight="1">
      <c r="A3" s="267"/>
      <c r="B3" s="267"/>
      <c r="C3" s="267"/>
      <c r="D3" s="267"/>
      <c r="E3" s="267"/>
      <c r="F3" s="267"/>
      <c r="G3" s="267"/>
      <c r="H3" s="267"/>
      <c r="I3" s="267"/>
      <c r="J3" s="267"/>
      <c r="K3" s="267"/>
      <c r="L3" s="267"/>
      <c r="M3" s="122"/>
      <c r="N3" s="122"/>
      <c r="O3" s="122"/>
      <c r="P3" s="122"/>
      <c r="Q3" s="122"/>
      <c r="U3" s="295"/>
      <c r="V3" s="295"/>
      <c r="W3" s="295"/>
      <c r="X3" s="295"/>
      <c r="Y3" s="295"/>
      <c r="Z3" s="295"/>
      <c r="AA3" s="295"/>
      <c r="AB3" s="295"/>
      <c r="AC3" s="295"/>
      <c r="AD3" s="295"/>
      <c r="AE3" s="295"/>
      <c r="AF3" s="295"/>
      <c r="AG3" s="295"/>
    </row>
    <row r="4" spans="1:33" ht="15" customHeight="1">
      <c r="A4" s="102"/>
      <c r="B4" s="86"/>
      <c r="C4" s="86"/>
      <c r="D4" s="86"/>
      <c r="E4" s="86"/>
      <c r="F4" s="86"/>
      <c r="G4" s="86"/>
      <c r="H4" s="86"/>
      <c r="I4" s="86"/>
      <c r="J4" s="86"/>
      <c r="K4" s="85"/>
      <c r="L4" s="86" t="s">
        <v>71</v>
      </c>
      <c r="M4" s="86"/>
      <c r="N4" s="86"/>
      <c r="O4" s="86"/>
      <c r="P4" s="86"/>
      <c r="Q4" s="86"/>
      <c r="U4" s="102"/>
      <c r="V4" s="86"/>
      <c r="W4" s="86"/>
      <c r="X4" s="86"/>
      <c r="Y4" s="86"/>
      <c r="Z4" s="86"/>
      <c r="AA4" s="86"/>
      <c r="AB4" s="86"/>
      <c r="AC4" s="86"/>
      <c r="AD4" s="86"/>
      <c r="AE4" s="86"/>
      <c r="AF4" s="123"/>
      <c r="AG4" s="86"/>
    </row>
    <row r="5" spans="1:33" ht="54.75" customHeight="1">
      <c r="A5" s="89" t="s">
        <v>72</v>
      </c>
      <c r="B5" s="88" t="s">
        <v>4</v>
      </c>
      <c r="C5" s="88" t="s">
        <v>73</v>
      </c>
      <c r="D5" s="88" t="s">
        <v>74</v>
      </c>
      <c r="E5" s="88" t="s">
        <v>75</v>
      </c>
      <c r="F5" s="88" t="s">
        <v>95</v>
      </c>
      <c r="G5" s="88" t="s">
        <v>96</v>
      </c>
      <c r="H5" s="88" t="s">
        <v>97</v>
      </c>
      <c r="I5" s="88" t="s">
        <v>98</v>
      </c>
      <c r="J5" s="88" t="s">
        <v>99</v>
      </c>
      <c r="K5" s="88" t="s">
        <v>100</v>
      </c>
      <c r="L5" s="88" t="s">
        <v>0</v>
      </c>
      <c r="M5" s="107"/>
      <c r="N5" s="107"/>
      <c r="O5" s="107"/>
      <c r="P5" s="107"/>
      <c r="Q5" s="107"/>
      <c r="U5" s="102"/>
      <c r="V5" s="107"/>
      <c r="W5" s="107"/>
      <c r="X5" s="107"/>
      <c r="Y5" s="106"/>
      <c r="Z5" s="106"/>
      <c r="AA5" s="107"/>
      <c r="AB5" s="107"/>
      <c r="AC5" s="107"/>
      <c r="AD5" s="106"/>
      <c r="AE5" s="107"/>
      <c r="AF5" s="107"/>
      <c r="AG5" s="107"/>
    </row>
    <row r="6" spans="1:33" ht="15" customHeight="1">
      <c r="A6" s="15">
        <v>1</v>
      </c>
      <c r="B6" s="112">
        <v>2</v>
      </c>
      <c r="C6" s="7">
        <v>3</v>
      </c>
      <c r="D6" s="91">
        <v>4</v>
      </c>
      <c r="E6" s="7">
        <v>5</v>
      </c>
      <c r="F6" s="7">
        <v>6</v>
      </c>
      <c r="G6" s="7">
        <v>7</v>
      </c>
      <c r="H6" s="7">
        <v>8</v>
      </c>
      <c r="I6" s="7">
        <v>9</v>
      </c>
      <c r="J6" s="7">
        <v>10</v>
      </c>
      <c r="K6" s="7">
        <v>11</v>
      </c>
      <c r="L6" s="91" t="s">
        <v>101</v>
      </c>
      <c r="M6" s="124"/>
      <c r="N6" s="124"/>
      <c r="O6" s="124"/>
      <c r="P6" s="124"/>
      <c r="Q6" s="124"/>
      <c r="U6" s="125"/>
      <c r="V6" s="110"/>
      <c r="W6" s="124"/>
      <c r="X6" s="124"/>
      <c r="Y6" s="124"/>
      <c r="Z6" s="124"/>
      <c r="AA6" s="124"/>
      <c r="AB6" s="124"/>
      <c r="AC6" s="124"/>
      <c r="AD6" s="124"/>
      <c r="AE6" s="124"/>
      <c r="AF6" s="124"/>
      <c r="AG6" s="124"/>
    </row>
    <row r="7" spans="1:33" ht="14.25" customHeight="1">
      <c r="A7" s="289" t="s">
        <v>102</v>
      </c>
      <c r="B7" s="92" t="s">
        <v>7</v>
      </c>
      <c r="C7" s="93">
        <v>223.94</v>
      </c>
      <c r="D7" s="93">
        <v>2.37</v>
      </c>
      <c r="E7" s="93">
        <v>0.08</v>
      </c>
      <c r="F7" s="93">
        <v>1150</v>
      </c>
      <c r="G7" s="197">
        <v>12368.68</v>
      </c>
      <c r="H7" s="93" t="s">
        <v>103</v>
      </c>
      <c r="I7" s="93" t="s">
        <v>87</v>
      </c>
      <c r="J7" s="93">
        <v>156.29999999999927</v>
      </c>
      <c r="K7" s="93">
        <v>430</v>
      </c>
      <c r="L7" s="197">
        <v>14331</v>
      </c>
      <c r="M7" s="80"/>
      <c r="N7" s="80"/>
      <c r="O7" s="80"/>
      <c r="P7" s="80"/>
      <c r="Q7" s="80"/>
      <c r="U7" s="125"/>
      <c r="V7" s="126"/>
      <c r="W7" s="81"/>
      <c r="X7" s="81"/>
      <c r="Y7" s="81"/>
      <c r="Z7" s="81"/>
      <c r="AA7" s="81"/>
      <c r="AB7" s="81"/>
      <c r="AC7" s="81"/>
      <c r="AD7" s="127"/>
      <c r="AE7" s="81"/>
      <c r="AF7" s="81"/>
      <c r="AG7" s="81"/>
    </row>
    <row r="8" spans="1:33">
      <c r="A8" s="290"/>
      <c r="B8" s="92" t="s">
        <v>8</v>
      </c>
      <c r="C8" s="96">
        <v>223.68</v>
      </c>
      <c r="D8" s="96">
        <v>4.76</v>
      </c>
      <c r="E8" s="96">
        <v>0</v>
      </c>
      <c r="F8" s="96">
        <v>1255</v>
      </c>
      <c r="G8" s="198">
        <v>13295.91</v>
      </c>
      <c r="H8" s="96" t="s">
        <v>103</v>
      </c>
      <c r="I8" s="96" t="s">
        <v>87</v>
      </c>
      <c r="J8" s="96">
        <v>149.67000000000024</v>
      </c>
      <c r="K8" s="96">
        <v>420.84</v>
      </c>
      <c r="L8" s="198">
        <v>15350</v>
      </c>
      <c r="M8" s="80"/>
      <c r="N8" s="80"/>
      <c r="O8" s="80"/>
      <c r="P8" s="80"/>
      <c r="Q8" s="80"/>
      <c r="R8" s="95"/>
      <c r="U8" s="125"/>
      <c r="V8" s="128"/>
      <c r="W8" s="81"/>
      <c r="X8" s="81"/>
      <c r="Y8" s="81"/>
      <c r="Z8" s="81"/>
      <c r="AA8" s="81"/>
      <c r="AB8" s="81"/>
      <c r="AC8" s="81"/>
      <c r="AD8" s="127"/>
      <c r="AE8" s="81"/>
      <c r="AF8" s="81"/>
      <c r="AG8" s="81"/>
    </row>
    <row r="9" spans="1:33">
      <c r="A9" s="290"/>
      <c r="B9" s="92" t="s">
        <v>1</v>
      </c>
      <c r="C9" s="96">
        <v>214.77599999999998</v>
      </c>
      <c r="D9" s="96">
        <v>3.73</v>
      </c>
      <c r="E9" s="96">
        <v>0</v>
      </c>
      <c r="F9" s="96">
        <v>145</v>
      </c>
      <c r="G9" s="198">
        <v>13568.03</v>
      </c>
      <c r="H9" s="198">
        <v>1168</v>
      </c>
      <c r="I9" s="96">
        <v>58.579000000000001</v>
      </c>
      <c r="J9" s="96">
        <v>44.752000000000351</v>
      </c>
      <c r="K9" s="96">
        <v>398.47300000000001</v>
      </c>
      <c r="L9" s="198">
        <v>15601</v>
      </c>
      <c r="M9" s="80"/>
      <c r="N9" s="80"/>
      <c r="O9" s="80"/>
      <c r="P9" s="80"/>
      <c r="Q9" s="80"/>
      <c r="U9" s="125"/>
      <c r="V9" s="128"/>
      <c r="W9" s="81"/>
      <c r="X9" s="81"/>
      <c r="Y9" s="81"/>
      <c r="Z9" s="81"/>
      <c r="AA9" s="81"/>
      <c r="AB9" s="81"/>
      <c r="AC9" s="81"/>
      <c r="AD9" s="127"/>
      <c r="AE9" s="81"/>
      <c r="AF9" s="81"/>
      <c r="AG9" s="81"/>
    </row>
    <row r="10" spans="1:33">
      <c r="A10" s="290"/>
      <c r="B10" s="92" t="s">
        <v>2</v>
      </c>
      <c r="C10" s="96">
        <v>194.965</v>
      </c>
      <c r="D10" s="96">
        <v>3.95</v>
      </c>
      <c r="E10" s="96">
        <v>2.5670000000000002</v>
      </c>
      <c r="F10" s="96">
        <v>134.745</v>
      </c>
      <c r="G10" s="198">
        <v>14411.6</v>
      </c>
      <c r="H10" s="198">
        <v>1073.5999999999999</v>
      </c>
      <c r="I10" s="96">
        <v>57.773000000000003</v>
      </c>
      <c r="J10" s="96">
        <v>45.948270000001223</v>
      </c>
      <c r="K10" s="96">
        <v>368.50055600000002</v>
      </c>
      <c r="L10" s="198">
        <v>16293.648826000002</v>
      </c>
      <c r="M10" s="80"/>
      <c r="N10" s="80"/>
      <c r="O10" s="80"/>
      <c r="P10" s="80"/>
      <c r="Q10" s="80"/>
      <c r="U10" s="121"/>
      <c r="V10" s="128"/>
      <c r="W10" s="81"/>
      <c r="X10" s="81"/>
      <c r="Y10" s="81"/>
      <c r="Z10" s="81"/>
      <c r="AA10" s="81"/>
      <c r="AB10" s="81"/>
      <c r="AC10" s="81"/>
      <c r="AD10" s="127"/>
      <c r="AE10" s="81"/>
      <c r="AF10" s="81"/>
      <c r="AG10" s="81"/>
    </row>
    <row r="11" spans="1:33">
      <c r="A11" s="290"/>
      <c r="B11" s="92" t="s">
        <v>3</v>
      </c>
      <c r="C11" s="96">
        <v>164.59067000000002</v>
      </c>
      <c r="D11" s="96">
        <v>6.0943699999999996</v>
      </c>
      <c r="E11" s="96">
        <v>3.08304</v>
      </c>
      <c r="F11" s="96">
        <v>207.91741999999999</v>
      </c>
      <c r="G11" s="198">
        <v>16040.3884</v>
      </c>
      <c r="H11" s="198">
        <v>1050.9847</v>
      </c>
      <c r="I11" s="96">
        <v>45.186730000000004</v>
      </c>
      <c r="J11" s="96">
        <v>52.68237000000034</v>
      </c>
      <c r="K11" s="96">
        <v>429.17467499999998</v>
      </c>
      <c r="L11" s="198">
        <v>18000.102374999999</v>
      </c>
      <c r="M11" s="80"/>
      <c r="N11" s="80"/>
      <c r="O11" s="80"/>
      <c r="P11" s="80"/>
      <c r="Q11" s="80"/>
      <c r="U11" s="121"/>
      <c r="V11" s="128"/>
      <c r="W11" s="81"/>
      <c r="X11" s="81"/>
      <c r="Y11" s="81"/>
      <c r="Z11" s="81"/>
      <c r="AA11" s="81"/>
      <c r="AB11" s="81"/>
      <c r="AC11" s="81"/>
      <c r="AD11" s="127"/>
      <c r="AE11" s="81"/>
      <c r="AF11" s="81"/>
      <c r="AG11" s="81"/>
    </row>
    <row r="12" spans="1:33">
      <c r="A12" s="290"/>
      <c r="B12" s="92" t="s">
        <v>20</v>
      </c>
      <c r="C12" s="96">
        <v>171.83078999999998</v>
      </c>
      <c r="D12" s="96">
        <v>7.1307399999999994</v>
      </c>
      <c r="E12" s="96">
        <v>2.6822399999999997</v>
      </c>
      <c r="F12" s="96">
        <v>201.65658000000002</v>
      </c>
      <c r="G12" s="198">
        <v>17181.720799999999</v>
      </c>
      <c r="H12" s="198">
        <v>1464.3679</v>
      </c>
      <c r="I12" s="96">
        <v>44.918879999999994</v>
      </c>
      <c r="J12" s="96">
        <v>59.873620000000003</v>
      </c>
      <c r="K12" s="96">
        <v>489.04669200000001</v>
      </c>
      <c r="L12" s="198">
        <v>19623.210791999998</v>
      </c>
      <c r="M12" s="80"/>
      <c r="N12" s="80"/>
      <c r="O12" s="80"/>
      <c r="P12" s="80"/>
      <c r="Q12" s="80"/>
      <c r="U12" s="121"/>
      <c r="V12" s="128"/>
      <c r="W12" s="81"/>
      <c r="X12" s="81"/>
      <c r="Y12" s="81"/>
      <c r="Z12" s="81"/>
      <c r="AA12" s="81"/>
      <c r="AB12" s="81"/>
      <c r="AC12" s="81"/>
      <c r="AD12" s="127"/>
      <c r="AE12" s="81"/>
      <c r="AF12" s="81"/>
      <c r="AG12" s="81"/>
    </row>
    <row r="13" spans="1:33">
      <c r="A13" s="290"/>
      <c r="B13" s="92" t="s">
        <v>23</v>
      </c>
      <c r="C13" s="96">
        <v>168.0677</v>
      </c>
      <c r="D13" s="96">
        <v>7.7522600000000006</v>
      </c>
      <c r="E13" s="96">
        <v>2.1896300000000002</v>
      </c>
      <c r="F13" s="96">
        <v>220.03119999999998</v>
      </c>
      <c r="G13" s="198">
        <v>18871.361199999999</v>
      </c>
      <c r="H13" s="198">
        <v>1775.9146000000001</v>
      </c>
      <c r="I13" s="96">
        <v>67.027479999999997</v>
      </c>
      <c r="J13" s="96">
        <v>66.559970000000007</v>
      </c>
      <c r="K13" s="96">
        <v>429.30619799999999</v>
      </c>
      <c r="L13" s="198">
        <v>21608.210238</v>
      </c>
      <c r="M13" s="80"/>
      <c r="N13" s="80"/>
      <c r="O13" s="80"/>
      <c r="P13" s="80"/>
      <c r="Q13" s="80"/>
      <c r="U13" s="121"/>
      <c r="V13" s="128"/>
      <c r="W13" s="81"/>
      <c r="X13" s="81"/>
      <c r="Y13" s="81"/>
      <c r="Z13" s="81"/>
      <c r="AA13" s="81"/>
      <c r="AB13" s="81"/>
      <c r="AC13" s="81"/>
      <c r="AD13" s="81"/>
      <c r="AE13" s="81"/>
      <c r="AF13" s="81"/>
      <c r="AG13" s="81"/>
    </row>
    <row r="14" spans="1:33">
      <c r="A14" s="290"/>
      <c r="B14" s="92" t="s">
        <v>24</v>
      </c>
      <c r="C14" s="96">
        <v>185.09082000000001</v>
      </c>
      <c r="D14" s="96">
        <v>7.4636500000000003</v>
      </c>
      <c r="E14" s="96">
        <v>1.2515399999999997</v>
      </c>
      <c r="F14" s="96">
        <v>204.57236000000006</v>
      </c>
      <c r="G14" s="198">
        <v>20351.779419999995</v>
      </c>
      <c r="H14" s="198">
        <v>2085.8151399999992</v>
      </c>
      <c r="I14" s="96">
        <v>74.252530000000021</v>
      </c>
      <c r="J14" s="96">
        <v>67.130839999999992</v>
      </c>
      <c r="K14" s="96">
        <v>364.46499999999997</v>
      </c>
      <c r="L14" s="198">
        <v>23341.8213</v>
      </c>
      <c r="M14" s="80"/>
      <c r="N14" s="80"/>
      <c r="O14" s="80"/>
      <c r="P14" s="80"/>
      <c r="Q14" s="80"/>
      <c r="U14" s="121"/>
      <c r="V14" s="128"/>
      <c r="W14" s="81"/>
      <c r="X14" s="81"/>
      <c r="Y14" s="81"/>
      <c r="Z14" s="81"/>
      <c r="AA14" s="81"/>
      <c r="AB14" s="81"/>
      <c r="AC14" s="81"/>
      <c r="AD14" s="81"/>
      <c r="AE14" s="81"/>
      <c r="AF14" s="81"/>
      <c r="AG14" s="81"/>
    </row>
    <row r="15" spans="1:33">
      <c r="A15" s="290"/>
      <c r="B15" s="92" t="s">
        <v>28</v>
      </c>
      <c r="C15" s="96">
        <v>181.11423124800001</v>
      </c>
      <c r="D15" s="96">
        <v>21.983345</v>
      </c>
      <c r="E15" s="96">
        <v>1.7697001999999999</v>
      </c>
      <c r="F15" s="96">
        <v>204.23340000000005</v>
      </c>
      <c r="G15" s="198">
        <v>21728.020787234898</v>
      </c>
      <c r="H15" s="198">
        <v>2364.389017512</v>
      </c>
      <c r="I15" s="96">
        <v>1.1089999999999999E-2</v>
      </c>
      <c r="J15" s="96">
        <v>88.934721084999993</v>
      </c>
      <c r="K15" s="96">
        <v>315.98422599999998</v>
      </c>
      <c r="L15" s="198">
        <v>24906.789338279897</v>
      </c>
      <c r="M15" s="80"/>
      <c r="N15" s="80"/>
      <c r="O15" s="80"/>
      <c r="P15" s="80"/>
      <c r="Q15" s="80"/>
      <c r="R15" s="80"/>
      <c r="U15" s="121"/>
      <c r="V15" s="128"/>
      <c r="W15" s="81"/>
      <c r="X15" s="81"/>
      <c r="Y15" s="81"/>
      <c r="Z15" s="81"/>
      <c r="AA15" s="81"/>
      <c r="AB15" s="81"/>
      <c r="AC15" s="81"/>
      <c r="AD15" s="81"/>
      <c r="AE15" s="81"/>
      <c r="AF15" s="81"/>
      <c r="AG15" s="81"/>
    </row>
    <row r="16" spans="1:33">
      <c r="A16" s="292"/>
      <c r="B16" s="129" t="s">
        <v>31</v>
      </c>
      <c r="C16" s="98">
        <v>172.79335091599998</v>
      </c>
      <c r="D16" s="98">
        <v>25.702846000000001</v>
      </c>
      <c r="E16" s="98">
        <v>1.4852289999999999</v>
      </c>
      <c r="F16" s="98">
        <v>153.39610500000001</v>
      </c>
      <c r="G16" s="199">
        <v>23075.968025542064</v>
      </c>
      <c r="H16" s="199">
        <v>2614.4304898750015</v>
      </c>
      <c r="I16" s="98">
        <v>-1.2000000000000031E-4</v>
      </c>
      <c r="J16" s="98">
        <v>81.901266674000013</v>
      </c>
      <c r="K16" s="98">
        <v>204.03577499999997</v>
      </c>
      <c r="L16" s="199">
        <v>26329.779378007068</v>
      </c>
      <c r="M16" s="80"/>
      <c r="N16" s="80"/>
      <c r="O16" s="80"/>
      <c r="P16" s="66"/>
      <c r="Q16" s="80"/>
      <c r="R16" s="80"/>
      <c r="S16" s="95"/>
      <c r="U16" s="121"/>
      <c r="V16" s="128"/>
      <c r="W16" s="81"/>
      <c r="X16" s="81"/>
      <c r="Y16" s="81"/>
      <c r="Z16" s="81"/>
      <c r="AA16" s="81"/>
      <c r="AB16" s="81"/>
      <c r="AC16" s="81"/>
      <c r="AD16" s="81"/>
      <c r="AE16" s="81"/>
      <c r="AF16" s="81"/>
      <c r="AG16" s="81"/>
    </row>
    <row r="17" spans="1:37" ht="32.25" customHeight="1">
      <c r="A17" s="285" t="s">
        <v>34</v>
      </c>
      <c r="B17" s="286"/>
      <c r="C17" s="200">
        <f>((C16-C15)/C15)*100</f>
        <v>-4.5942719545910418</v>
      </c>
      <c r="D17" s="200">
        <f>((D16-D15)/D15)*100</f>
        <v>16.919631657511637</v>
      </c>
      <c r="E17" s="200">
        <f t="shared" ref="E17:L17" si="0">((E16-E15)/E15)*100</f>
        <v>-16.074541891332782</v>
      </c>
      <c r="F17" s="200">
        <f t="shared" si="0"/>
        <v>-24.89176354112502</v>
      </c>
      <c r="G17" s="200">
        <f t="shared" si="0"/>
        <v>6.2037276726975437</v>
      </c>
      <c r="H17" s="200">
        <f t="shared" si="0"/>
        <v>10.575310175738984</v>
      </c>
      <c r="I17" s="200">
        <f>((I16-I15)/I15)*100</f>
        <v>-101.08205590622184</v>
      </c>
      <c r="J17" s="200">
        <f>((J16-J15)/J15)*100</f>
        <v>-7.9085584630975632</v>
      </c>
      <c r="K17" s="200">
        <f t="shared" si="0"/>
        <v>-35.428493509672862</v>
      </c>
      <c r="L17" s="200">
        <f t="shared" si="0"/>
        <v>5.713261634811114</v>
      </c>
      <c r="M17" s="10"/>
      <c r="O17" s="10"/>
      <c r="P17" s="10"/>
      <c r="Q17" s="10"/>
      <c r="R17" s="10"/>
      <c r="U17" s="294"/>
      <c r="V17" s="294"/>
      <c r="W17" s="10"/>
      <c r="X17" s="10"/>
      <c r="Y17" s="10"/>
      <c r="Z17" s="10"/>
      <c r="AA17" s="10"/>
      <c r="AB17" s="10"/>
      <c r="AC17" s="10"/>
      <c r="AD17" s="10"/>
      <c r="AE17" s="10"/>
      <c r="AF17" s="10"/>
      <c r="AG17" s="10"/>
    </row>
    <row r="18" spans="1:37" ht="34.5" customHeight="1">
      <c r="A18" s="285" t="s">
        <v>33</v>
      </c>
      <c r="B18" s="287"/>
      <c r="C18" s="9">
        <f>((C16/C7)^(1/10)-1)*100</f>
        <v>-2.5594929348812467</v>
      </c>
      <c r="D18" s="9">
        <f>((D16/D7)^(1/10)-1)*100</f>
        <v>26.918019589450015</v>
      </c>
      <c r="E18" s="9" t="s">
        <v>66</v>
      </c>
      <c r="F18" s="9">
        <f>((F16/F7)^(1/10)-1)*100</f>
        <v>-18.245503313832067</v>
      </c>
      <c r="G18" s="9">
        <f>((G16/G7)^(1/10)-1)*100</f>
        <v>6.434802221433622</v>
      </c>
      <c r="H18" s="9" t="s">
        <v>66</v>
      </c>
      <c r="I18" s="9" t="s">
        <v>66</v>
      </c>
      <c r="J18" s="9">
        <f>((J16/J7)^(1/10)-1)*100</f>
        <v>-6.2582268503314715</v>
      </c>
      <c r="K18" s="9">
        <f>((K16/K7)^(1/10)-1)*100</f>
        <v>-7.1837994237354046</v>
      </c>
      <c r="L18" s="9">
        <f>((L16/L7)^(1/10)-1)*100</f>
        <v>6.2715640649004367</v>
      </c>
      <c r="M18" s="10"/>
      <c r="N18" s="10"/>
      <c r="O18" s="10"/>
      <c r="P18" s="10"/>
      <c r="Q18" s="10"/>
      <c r="U18" s="294"/>
      <c r="V18" s="294"/>
      <c r="W18" s="10"/>
      <c r="X18" s="10"/>
      <c r="Y18" s="10"/>
      <c r="Z18" s="10"/>
      <c r="AA18" s="10"/>
      <c r="AB18" s="10"/>
      <c r="AC18" s="10"/>
      <c r="AD18" s="10"/>
      <c r="AE18" s="10"/>
      <c r="AF18" s="10"/>
      <c r="AG18" s="10"/>
    </row>
    <row r="19" spans="1:37" ht="34.5" customHeight="1">
      <c r="A19" s="130" t="s">
        <v>83</v>
      </c>
      <c r="B19" s="99"/>
      <c r="C19" s="99"/>
      <c r="D19" s="99"/>
      <c r="E19" s="99"/>
      <c r="F19" s="99"/>
      <c r="G19" s="99"/>
      <c r="H19" s="99"/>
      <c r="I19" s="99"/>
      <c r="J19" s="99"/>
      <c r="K19" s="99"/>
      <c r="L19" s="99"/>
      <c r="M19" s="10"/>
      <c r="N19" s="10"/>
      <c r="O19" s="10"/>
      <c r="P19" s="10"/>
      <c r="Q19" s="10"/>
      <c r="U19" s="131"/>
      <c r="V19" s="131"/>
      <c r="W19" s="10"/>
      <c r="X19" s="10"/>
      <c r="Y19" s="10"/>
      <c r="Z19" s="10"/>
      <c r="AA19" s="10"/>
      <c r="AB19" s="10"/>
      <c r="AC19" s="10"/>
      <c r="AD19" s="10"/>
      <c r="AE19" s="10"/>
      <c r="AF19" s="10"/>
      <c r="AG19" s="10"/>
    </row>
    <row r="20" spans="1:37" ht="28.5" customHeight="1">
      <c r="A20" s="131"/>
      <c r="B20" s="131"/>
      <c r="C20" s="10"/>
      <c r="D20" s="10"/>
      <c r="E20" s="10"/>
      <c r="H20" s="10"/>
      <c r="I20" s="10"/>
      <c r="J20" s="10"/>
      <c r="K20" s="10"/>
      <c r="L20" s="10"/>
      <c r="M20" s="10"/>
      <c r="N20" s="10"/>
      <c r="O20" s="10"/>
      <c r="P20" s="10"/>
      <c r="Q20" s="10"/>
      <c r="AJ20" s="113"/>
      <c r="AK20" s="113"/>
    </row>
    <row r="21" spans="1:37" ht="16.5" customHeight="1">
      <c r="A21" s="131"/>
      <c r="B21" s="131"/>
      <c r="C21" s="10"/>
      <c r="D21" s="10"/>
      <c r="E21" s="10"/>
      <c r="H21" s="10"/>
      <c r="I21" s="10"/>
      <c r="J21" s="10"/>
      <c r="K21" s="10"/>
      <c r="L21" s="10"/>
      <c r="M21" s="10"/>
      <c r="N21" s="10"/>
      <c r="O21" s="10"/>
      <c r="P21" s="10"/>
      <c r="Q21" s="10"/>
      <c r="AJ21" s="113"/>
      <c r="AK21" s="113"/>
    </row>
    <row r="22" spans="1:37" ht="19.5" customHeight="1">
      <c r="A22" s="267" t="s">
        <v>194</v>
      </c>
      <c r="B22" s="267"/>
      <c r="C22" s="267"/>
      <c r="D22" s="267"/>
      <c r="E22" s="267"/>
      <c r="F22" s="267"/>
      <c r="G22" s="267"/>
      <c r="H22" s="267"/>
      <c r="I22" s="267"/>
      <c r="J22" s="113"/>
      <c r="K22" s="113"/>
      <c r="L22" s="267" t="s">
        <v>195</v>
      </c>
      <c r="M22" s="267"/>
      <c r="N22" s="267"/>
      <c r="O22" s="267"/>
      <c r="P22" s="267"/>
      <c r="Q22" s="267"/>
    </row>
    <row r="23" spans="1:37" ht="29.25" customHeight="1">
      <c r="A23" s="267"/>
      <c r="B23" s="267"/>
      <c r="C23" s="267"/>
      <c r="D23" s="267"/>
      <c r="E23" s="267"/>
      <c r="F23" s="267"/>
      <c r="G23" s="267"/>
      <c r="H23" s="267"/>
      <c r="I23" s="267"/>
      <c r="J23" s="113"/>
      <c r="K23" s="113"/>
      <c r="L23" s="267"/>
      <c r="M23" s="267"/>
      <c r="N23" s="267"/>
      <c r="O23" s="267"/>
      <c r="P23" s="267"/>
      <c r="Q23" s="267"/>
    </row>
    <row r="24" spans="1:37" ht="15" customHeight="1">
      <c r="A24" s="113"/>
      <c r="B24" s="113"/>
      <c r="C24" s="113"/>
      <c r="D24" s="113"/>
      <c r="E24" s="113"/>
      <c r="F24" s="113"/>
      <c r="G24" s="113"/>
      <c r="H24" s="85"/>
      <c r="I24" s="86" t="s">
        <v>71</v>
      </c>
      <c r="J24" s="113"/>
      <c r="K24" s="113"/>
      <c r="L24" s="10"/>
      <c r="M24" s="10"/>
      <c r="N24" s="10"/>
      <c r="O24" s="10"/>
      <c r="Q24" s="86" t="s">
        <v>71</v>
      </c>
    </row>
    <row r="25" spans="1:37" ht="15" customHeight="1">
      <c r="A25" s="89" t="s">
        <v>72</v>
      </c>
      <c r="B25" s="88" t="s">
        <v>4</v>
      </c>
      <c r="C25" s="89" t="s">
        <v>104</v>
      </c>
      <c r="D25" s="89" t="s">
        <v>105</v>
      </c>
      <c r="E25" s="89" t="s">
        <v>106</v>
      </c>
      <c r="F25" s="89" t="s">
        <v>107</v>
      </c>
      <c r="G25" s="89" t="s">
        <v>108</v>
      </c>
      <c r="H25" s="89" t="s">
        <v>100</v>
      </c>
      <c r="I25" s="89" t="s">
        <v>0</v>
      </c>
      <c r="J25" s="107"/>
      <c r="K25" s="107"/>
      <c r="L25" s="87" t="s">
        <v>72</v>
      </c>
      <c r="M25" s="88" t="s">
        <v>4</v>
      </c>
      <c r="N25" s="88" t="s">
        <v>89</v>
      </c>
      <c r="O25" s="88" t="s">
        <v>109</v>
      </c>
      <c r="P25" s="88" t="s">
        <v>108</v>
      </c>
      <c r="Q25" s="88" t="s">
        <v>0</v>
      </c>
    </row>
    <row r="26" spans="1:37" ht="15" customHeight="1">
      <c r="A26" s="15">
        <v>1</v>
      </c>
      <c r="B26" s="25">
        <v>2</v>
      </c>
      <c r="C26" s="7">
        <v>3</v>
      </c>
      <c r="D26" s="7">
        <v>4</v>
      </c>
      <c r="E26" s="7">
        <v>5</v>
      </c>
      <c r="F26" s="7">
        <v>6</v>
      </c>
      <c r="G26" s="7">
        <v>7</v>
      </c>
      <c r="H26" s="7">
        <v>8</v>
      </c>
      <c r="I26" s="7" t="s">
        <v>110</v>
      </c>
      <c r="J26" s="124"/>
      <c r="K26" s="124"/>
      <c r="L26" s="15">
        <v>1</v>
      </c>
      <c r="M26" s="25">
        <v>2</v>
      </c>
      <c r="N26" s="132">
        <v>3</v>
      </c>
      <c r="O26" s="132">
        <v>4</v>
      </c>
      <c r="P26" s="132">
        <v>5</v>
      </c>
      <c r="Q26" s="89" t="s">
        <v>111</v>
      </c>
    </row>
    <row r="27" spans="1:37" ht="15" customHeight="1">
      <c r="A27" s="258" t="s">
        <v>112</v>
      </c>
      <c r="B27" s="92" t="s">
        <v>7</v>
      </c>
      <c r="C27" s="72">
        <v>892.22</v>
      </c>
      <c r="D27" s="72">
        <v>7500</v>
      </c>
      <c r="E27" s="72">
        <v>419.33</v>
      </c>
      <c r="F27" s="72">
        <v>0.01</v>
      </c>
      <c r="G27" s="72">
        <v>154.73999999999978</v>
      </c>
      <c r="H27" s="72">
        <v>1710</v>
      </c>
      <c r="I27" s="72">
        <v>10676.3</v>
      </c>
      <c r="J27" s="80"/>
      <c r="K27" s="80"/>
      <c r="L27" s="289" t="s">
        <v>113</v>
      </c>
      <c r="M27" s="92" t="s">
        <v>7</v>
      </c>
      <c r="N27" s="72">
        <v>8722</v>
      </c>
      <c r="O27" s="72">
        <v>67</v>
      </c>
      <c r="P27" s="72">
        <v>139</v>
      </c>
      <c r="Q27" s="133">
        <f t="shared" ref="Q27:Q34" si="1">SUM(N27:P27)</f>
        <v>8928</v>
      </c>
    </row>
    <row r="28" spans="1:37" ht="15" customHeight="1">
      <c r="A28" s="293"/>
      <c r="B28" s="92" t="s">
        <v>8</v>
      </c>
      <c r="C28" s="73">
        <v>962.25</v>
      </c>
      <c r="D28" s="73">
        <v>8140.82</v>
      </c>
      <c r="E28" s="73">
        <v>187.36</v>
      </c>
      <c r="F28" s="73">
        <v>0.19</v>
      </c>
      <c r="G28" s="73">
        <v>163.21999999999912</v>
      </c>
      <c r="H28" s="73">
        <v>1767.66</v>
      </c>
      <c r="I28" s="73">
        <v>11221.5</v>
      </c>
      <c r="J28" s="80"/>
      <c r="K28" s="80"/>
      <c r="L28" s="290"/>
      <c r="M28" s="92" t="s">
        <v>8</v>
      </c>
      <c r="N28" s="73">
        <v>8045</v>
      </c>
      <c r="O28" s="73">
        <v>61</v>
      </c>
      <c r="P28" s="73">
        <v>123</v>
      </c>
      <c r="Q28" s="133">
        <f t="shared" si="1"/>
        <v>8229</v>
      </c>
      <c r="AJ28" s="39"/>
    </row>
    <row r="29" spans="1:37" ht="15" customHeight="1">
      <c r="A29" s="293"/>
      <c r="B29" s="92" t="s">
        <v>1</v>
      </c>
      <c r="C29" s="73">
        <v>897.95500000000004</v>
      </c>
      <c r="D29" s="73">
        <v>9412.2080000000005</v>
      </c>
      <c r="E29" s="73">
        <v>342.005</v>
      </c>
      <c r="F29" s="73">
        <v>0</v>
      </c>
      <c r="G29" s="73">
        <v>203.07100000000082</v>
      </c>
      <c r="H29" s="73">
        <v>1434.1610000000001</v>
      </c>
      <c r="I29" s="73">
        <v>12289.400000000001</v>
      </c>
      <c r="J29" s="80"/>
      <c r="K29" s="80"/>
      <c r="L29" s="290"/>
      <c r="M29" s="92" t="s">
        <v>1</v>
      </c>
      <c r="N29" s="73">
        <v>7349.0439999999999</v>
      </c>
      <c r="O29" s="73">
        <v>37.177</v>
      </c>
      <c r="P29" s="73">
        <v>115.282</v>
      </c>
      <c r="Q29" s="133">
        <f t="shared" si="1"/>
        <v>7501.5029999999997</v>
      </c>
      <c r="AJ29" s="39"/>
    </row>
    <row r="30" spans="1:37" ht="15" customHeight="1">
      <c r="A30" s="293"/>
      <c r="B30" s="92" t="s">
        <v>2</v>
      </c>
      <c r="C30" s="73">
        <v>515.89700000000005</v>
      </c>
      <c r="D30" s="73">
        <v>9463.9439999999995</v>
      </c>
      <c r="E30" s="73">
        <v>215.10900000000001</v>
      </c>
      <c r="F30" s="73">
        <v>0</v>
      </c>
      <c r="G30" s="73">
        <v>240.27264999999898</v>
      </c>
      <c r="H30" s="73">
        <v>869.98</v>
      </c>
      <c r="I30" s="73">
        <v>11305.202649999999</v>
      </c>
      <c r="J30" s="80"/>
      <c r="K30" s="80"/>
      <c r="L30" s="290"/>
      <c r="M30" s="92" t="s">
        <v>2</v>
      </c>
      <c r="N30" s="73">
        <v>7008.8578399999997</v>
      </c>
      <c r="O30" s="73">
        <v>107.30306</v>
      </c>
      <c r="P30" s="73">
        <v>48.609139999999996</v>
      </c>
      <c r="Q30" s="133">
        <f t="shared" si="1"/>
        <v>7164.7700399999994</v>
      </c>
      <c r="AJ30" s="39"/>
    </row>
    <row r="31" spans="1:37" ht="15" customHeight="1">
      <c r="A31" s="293"/>
      <c r="B31" s="92" t="s">
        <v>3</v>
      </c>
      <c r="C31" s="73">
        <v>301.48500000000001</v>
      </c>
      <c r="D31" s="73">
        <v>9530.06</v>
      </c>
      <c r="E31" s="73">
        <v>199.244</v>
      </c>
      <c r="F31" s="73">
        <v>0</v>
      </c>
      <c r="G31" s="73">
        <v>207.53370999999868</v>
      </c>
      <c r="H31" s="73">
        <v>843.70600000000002</v>
      </c>
      <c r="I31" s="73">
        <v>11082.028709999999</v>
      </c>
      <c r="J31" s="80"/>
      <c r="K31" s="80"/>
      <c r="L31" s="290"/>
      <c r="M31" s="92" t="s">
        <v>3</v>
      </c>
      <c r="N31" s="73">
        <v>6917.3442000000005</v>
      </c>
      <c r="O31" s="73">
        <v>60.109000000000002</v>
      </c>
      <c r="P31" s="73">
        <v>109.26499000000095</v>
      </c>
      <c r="Q31" s="133">
        <f t="shared" si="1"/>
        <v>7086.7181900000014</v>
      </c>
      <c r="AJ31" s="39"/>
    </row>
    <row r="32" spans="1:37" ht="15" customHeight="1">
      <c r="A32" s="293"/>
      <c r="B32" s="92" t="s">
        <v>20</v>
      </c>
      <c r="C32" s="73">
        <v>315.887</v>
      </c>
      <c r="D32" s="73">
        <v>10350.227999999999</v>
      </c>
      <c r="E32" s="73">
        <v>50.298000000000002</v>
      </c>
      <c r="F32" s="73">
        <v>0</v>
      </c>
      <c r="G32" s="73">
        <v>37.070999999999998</v>
      </c>
      <c r="H32" s="73">
        <v>2517.3580000000002</v>
      </c>
      <c r="I32" s="73">
        <v>13270.842000000001</v>
      </c>
      <c r="J32" s="80"/>
      <c r="K32" s="80"/>
      <c r="L32" s="290"/>
      <c r="M32" s="92" t="s">
        <v>20</v>
      </c>
      <c r="N32" s="73">
        <v>6648.9370799999997</v>
      </c>
      <c r="O32" s="73">
        <v>63.939570000000003</v>
      </c>
      <c r="P32" s="73">
        <v>113.42994</v>
      </c>
      <c r="Q32" s="133">
        <f t="shared" si="1"/>
        <v>6826.3065900000001</v>
      </c>
      <c r="AJ32" s="39"/>
    </row>
    <row r="33" spans="1:36" ht="14.25" customHeight="1">
      <c r="A33" s="293"/>
      <c r="B33" s="92" t="s">
        <v>23</v>
      </c>
      <c r="C33" s="73">
        <v>349.34500000000003</v>
      </c>
      <c r="D33" s="73">
        <v>10350.891</v>
      </c>
      <c r="E33" s="73">
        <v>60.202999999999996</v>
      </c>
      <c r="F33" s="73">
        <v>0</v>
      </c>
      <c r="G33" s="73">
        <v>57.591000000000001</v>
      </c>
      <c r="H33" s="73">
        <v>2422.752</v>
      </c>
      <c r="I33" s="73">
        <v>13240.781999999999</v>
      </c>
      <c r="J33" s="80"/>
      <c r="K33" s="80"/>
      <c r="L33" s="290"/>
      <c r="M33" s="92" t="s">
        <v>23</v>
      </c>
      <c r="N33" s="73">
        <v>5204.1232399999999</v>
      </c>
      <c r="O33" s="73">
        <v>77.10965999999371</v>
      </c>
      <c r="P33" s="73">
        <v>115.58049000000001</v>
      </c>
      <c r="Q33" s="133">
        <f t="shared" si="1"/>
        <v>5396.8133899999939</v>
      </c>
      <c r="AJ33" s="39"/>
    </row>
    <row r="34" spans="1:36" ht="13.5" customHeight="1">
      <c r="A34" s="293"/>
      <c r="B34" s="92" t="s">
        <v>24</v>
      </c>
      <c r="C34" s="73">
        <v>367.74243999999993</v>
      </c>
      <c r="D34" s="73">
        <v>10010.94651</v>
      </c>
      <c r="E34" s="73">
        <v>66.534949999999995</v>
      </c>
      <c r="F34" s="73">
        <v>0</v>
      </c>
      <c r="G34" s="73">
        <v>674.49709000000121</v>
      </c>
      <c r="H34" s="73">
        <v>1768.886</v>
      </c>
      <c r="I34" s="73">
        <v>12888.60699</v>
      </c>
      <c r="J34" s="80"/>
      <c r="K34" s="80"/>
      <c r="L34" s="290"/>
      <c r="M34" s="92" t="s">
        <v>24</v>
      </c>
      <c r="N34" s="73">
        <v>3633.5871699999998</v>
      </c>
      <c r="O34" s="73">
        <v>96.990989999999996</v>
      </c>
      <c r="P34" s="73">
        <v>114.53994999999995</v>
      </c>
      <c r="Q34" s="133">
        <f t="shared" si="1"/>
        <v>3845.1181099999994</v>
      </c>
      <c r="AJ34" s="39"/>
    </row>
    <row r="35" spans="1:36" ht="15.75" customHeight="1">
      <c r="A35" s="293"/>
      <c r="B35" s="92" t="s">
        <v>28</v>
      </c>
      <c r="C35" s="73">
        <v>351.61020999999994</v>
      </c>
      <c r="D35" s="73">
        <v>10601.626170999998</v>
      </c>
      <c r="E35" s="73">
        <v>5.2588300000000006</v>
      </c>
      <c r="F35" s="73">
        <v>0</v>
      </c>
      <c r="G35" s="73">
        <v>1445.2554325210826</v>
      </c>
      <c r="H35" s="73">
        <v>1727.4810000000002</v>
      </c>
      <c r="I35" s="73">
        <v>14131.231643521081</v>
      </c>
      <c r="J35" s="80"/>
      <c r="K35" s="80"/>
      <c r="L35" s="290"/>
      <c r="M35" s="92" t="s">
        <v>28</v>
      </c>
      <c r="N35" s="73">
        <v>3231.2114625680829</v>
      </c>
      <c r="O35" s="73">
        <v>97.295050879377413</v>
      </c>
      <c r="P35" s="73">
        <v>130.95175166381389</v>
      </c>
      <c r="Q35" s="133">
        <f>SUM(N35:P35)</f>
        <v>3459.4582651112742</v>
      </c>
    </row>
    <row r="36" spans="1:36" ht="12" customHeight="1">
      <c r="A36" s="259"/>
      <c r="B36" s="129" t="s">
        <v>31</v>
      </c>
      <c r="C36" s="78">
        <v>149.69999999999999</v>
      </c>
      <c r="D36" s="78">
        <v>10874.5</v>
      </c>
      <c r="E36" s="78">
        <v>0.4</v>
      </c>
      <c r="F36" s="78">
        <v>0</v>
      </c>
      <c r="G36" s="78">
        <v>1937.636</v>
      </c>
      <c r="H36" s="78">
        <v>1305.548</v>
      </c>
      <c r="I36" s="78">
        <v>14267.784000000001</v>
      </c>
      <c r="J36" s="80"/>
      <c r="K36" s="80"/>
      <c r="L36" s="292"/>
      <c r="M36" s="129" t="s">
        <v>31</v>
      </c>
      <c r="N36" s="78">
        <v>2173.7110691050552</v>
      </c>
      <c r="O36" s="78">
        <v>86.518069578210344</v>
      </c>
      <c r="P36" s="78">
        <v>136.60567338054466</v>
      </c>
      <c r="Q36" s="133">
        <f>SUM(N36:P36)</f>
        <v>2396.8348120638102</v>
      </c>
    </row>
    <row r="37" spans="1:36" ht="41.25" customHeight="1">
      <c r="A37" s="285" t="s">
        <v>34</v>
      </c>
      <c r="B37" s="286"/>
      <c r="C37" s="200">
        <f>((C36-C35)/C35)*100</f>
        <v>-57.424444529070982</v>
      </c>
      <c r="D37" s="200">
        <f>((D36-D35)/D35)*100</f>
        <v>2.5738865396558603</v>
      </c>
      <c r="E37" s="200">
        <f>((E36-E35)/E35)*100</f>
        <v>-92.393745376823361</v>
      </c>
      <c r="F37" s="200" t="s">
        <v>66</v>
      </c>
      <c r="G37" s="200">
        <f>((G36-G35)/G35)*100</f>
        <v>34.068757425115905</v>
      </c>
      <c r="H37" s="200">
        <f>((H36-H35)/H35)*100</f>
        <v>-24.42475488876579</v>
      </c>
      <c r="I37" s="200">
        <f>((I36-I35)/I35)*100</f>
        <v>0.96631602908814307</v>
      </c>
      <c r="J37" s="10"/>
      <c r="K37" s="10"/>
      <c r="L37" s="285" t="s">
        <v>34</v>
      </c>
      <c r="M37" s="287"/>
      <c r="N37" s="200">
        <f>((N36-N35)/N35)*100</f>
        <v>-32.727675229975631</v>
      </c>
      <c r="O37" s="200">
        <f>((O36-O35)/O35)*100</f>
        <v>-11.076597631392318</v>
      </c>
      <c r="P37" s="200">
        <f>((P36-P35)/P35)*100</f>
        <v>4.3175609679859832</v>
      </c>
      <c r="Q37" s="8">
        <f>((Q36-Q35)/Q35)*100</f>
        <v>-30.716469794246365</v>
      </c>
    </row>
    <row r="38" spans="1:36" ht="60.75" customHeight="1">
      <c r="A38" s="285" t="s">
        <v>33</v>
      </c>
      <c r="B38" s="287"/>
      <c r="C38" s="9">
        <f>((C36/C27)^(1/9)-1)*100</f>
        <v>-17.991079727967886</v>
      </c>
      <c r="D38" s="9">
        <f t="shared" ref="D38:E38" si="2">((D36/D27)^(1/9)-1)*100</f>
        <v>4.2143584569141579</v>
      </c>
      <c r="E38" s="9">
        <f t="shared" si="2"/>
        <v>-53.826867444359252</v>
      </c>
      <c r="F38" s="9" t="s">
        <v>66</v>
      </c>
      <c r="G38" s="9">
        <f>((G36/G27)^(1/9)-1)*100</f>
        <v>32.422959349543113</v>
      </c>
      <c r="H38" s="9">
        <f t="shared" ref="H38:I38" si="3">((H36/H27)^(1/9)-1)*100</f>
        <v>-2.954050212624737</v>
      </c>
      <c r="I38" s="9">
        <f t="shared" si="3"/>
        <v>3.2744431357903503</v>
      </c>
      <c r="J38" s="10"/>
      <c r="K38" s="10"/>
      <c r="L38" s="285" t="s">
        <v>33</v>
      </c>
      <c r="M38" s="287"/>
      <c r="N38" s="9">
        <f>((N36/N27)^(1/10)-1)*100</f>
        <v>-12.972086089170155</v>
      </c>
      <c r="O38" s="9">
        <f>((O36/O27)^(1/10)-1)*100</f>
        <v>2.5895681839392504</v>
      </c>
      <c r="P38" s="9">
        <f>((P36/P27)^(1/10)-1)*100</f>
        <v>-0.17360367474946736</v>
      </c>
      <c r="Q38" s="9">
        <f>((Q36/Q27)^(1/10)-1)*100</f>
        <v>-12.32245271836252</v>
      </c>
      <c r="V38" s="95"/>
    </row>
    <row r="39" spans="1:36">
      <c r="J39" s="4"/>
      <c r="K39" s="4"/>
      <c r="L39" s="247" t="s">
        <v>138</v>
      </c>
    </row>
    <row r="40" spans="1:36">
      <c r="U40" s="95"/>
      <c r="Y40" s="95"/>
    </row>
  </sheetData>
  <mergeCells count="15">
    <mergeCell ref="A18:B18"/>
    <mergeCell ref="U18:V18"/>
    <mergeCell ref="A1:L3"/>
    <mergeCell ref="U1:AG3"/>
    <mergeCell ref="A7:A16"/>
    <mergeCell ref="A17:B17"/>
    <mergeCell ref="U17:V17"/>
    <mergeCell ref="A38:B38"/>
    <mergeCell ref="L38:M38"/>
    <mergeCell ref="A22:I23"/>
    <mergeCell ref="L22:Q23"/>
    <mergeCell ref="A27:A36"/>
    <mergeCell ref="L27:L36"/>
    <mergeCell ref="A37:B37"/>
    <mergeCell ref="L37:M37"/>
  </mergeCells>
  <pageMargins left="0.7" right="0.7" top="0.75" bottom="0.75" header="0.3" footer="0.3"/>
  <pageSetup paperSize="9" scale="68" orientation="portrait" r:id="rId1"/>
  <colBreaks count="2" manualBreakCount="2">
    <brk id="17" max="39" man="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6.1</vt:lpstr>
      <vt:lpstr>6.2</vt:lpstr>
      <vt:lpstr>6.3</vt:lpstr>
      <vt:lpstr>6.4</vt:lpstr>
      <vt:lpstr>6.5</vt:lpstr>
      <vt:lpstr>6.5 (Contd.)</vt:lpstr>
      <vt:lpstr>6.6</vt:lpstr>
      <vt:lpstr>6.6 (Contd.)</vt:lpstr>
      <vt:lpstr>6.6 (Contd. 1)</vt:lpstr>
      <vt:lpstr>6.7</vt:lpstr>
      <vt:lpstr>6.8</vt:lpstr>
      <vt:lpstr>6.9</vt:lpstr>
      <vt:lpstr>'6.6 (Contd. 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charanjit</dc:creator>
  <cp:lastModifiedBy>Windows User</cp:lastModifiedBy>
  <cp:lastPrinted>2021-02-16T06:20:59Z</cp:lastPrinted>
  <dcterms:created xsi:type="dcterms:W3CDTF">2016-02-11T07:02:16Z</dcterms:created>
  <dcterms:modified xsi:type="dcterms:W3CDTF">2021-03-30T06:26:50Z</dcterms:modified>
</cp:coreProperties>
</file>